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99" activeTab="2"/>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Surcharge on all convictions, Criminal Justice Academy Funding, Section 90.5, Part 1B Temporary Provisos</t>
        </r>
        <r>
          <rPr>
            <b/>
            <sz val="12"/>
            <rFont val="Tahoma"/>
            <family val="2"/>
          </rPr>
          <t xml:space="preserve">
</t>
        </r>
        <r>
          <rPr>
            <sz val="12"/>
            <rFont val="Tahoma"/>
            <family val="2"/>
          </rPr>
          <t>In addition to all other assessments and surcharges during the current fiscal year, a five dollar surcharge to fund training at the SC Criminal Justice Academy</t>
        </r>
        <r>
          <rPr>
            <b/>
            <sz val="12"/>
            <color indexed="12"/>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In addition to all other assessments and surcharges required to be imposed by law, during fiscal year 2010-2011, </t>
        </r>
        <r>
          <rPr>
            <sz val="12"/>
            <color indexed="12"/>
            <rFont val="Tahoma"/>
            <family val="2"/>
          </rPr>
          <t>a one hundred fifty dollar surcharge is imposed on all misdemeanor drug offense convictions in the magistrate court.</t>
        </r>
        <r>
          <rPr>
            <sz val="12"/>
            <rFont val="Tahoma"/>
            <family val="2"/>
          </rPr>
          <t xml:space="preserve">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Surcharge on all convictions, Criminal Justice Academy Funding, Section 90.11, Part 1B Temporary Provisos</t>
        </r>
        <r>
          <rPr>
            <b/>
            <sz val="12"/>
            <rFont val="Tahoma"/>
            <family val="2"/>
          </rPr>
          <t xml:space="preserve">
</t>
        </r>
        <r>
          <rPr>
            <sz val="12"/>
            <rFont val="Tahoma"/>
            <family val="2"/>
          </rPr>
          <t xml:space="preserve">
In addition to all other assessments and surcharges during the current fiscal year, </t>
        </r>
        <r>
          <rPr>
            <b/>
            <sz val="12"/>
            <color indexed="12"/>
            <rFont val="Tahoma"/>
            <family val="2"/>
          </rPr>
          <t>a five dollar surcharge to fund training at the SC Criminal Justice Academy is also levied on all fines and monetary penalties imposed in the municipal court for misdemeanor traffic offenses or for non-traffic violations</t>
        </r>
        <r>
          <rPr>
            <sz val="12"/>
            <color indexed="10"/>
            <rFont val="Tahoma"/>
            <family val="2"/>
          </rPr>
          <t>.</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<sst xmlns="http://schemas.openxmlformats.org/spreadsheetml/2006/main" count="385" uniqueCount="120">
  <si>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</si>
  <si>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</si>
  <si>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</si>
  <si>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</si>
  <si>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</si>
  <si>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</si>
  <si>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</si>
  <si>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</si>
  <si>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</si>
  <si>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</si>
  <si>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</si>
  <si>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</si>
  <si>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</si>
  <si>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</si>
  <si>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</si>
  <si>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</si>
  <si>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</si>
  <si>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</si>
  <si>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</si>
  <si>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</si>
  <si>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</si>
  <si>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</si>
  <si>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</si>
  <si>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</si>
  <si>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</si>
  <si>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</si>
  <si>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</si>
  <si>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</si>
  <si>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</si>
  <si>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</si>
  <si>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</si>
  <si>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</si>
  <si>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</si>
  <si>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</si>
  <si>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</si>
  <si>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</si>
  <si>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</si>
  <si>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</si>
  <si>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</si>
  <si>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</si>
  <si>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</si>
  <si>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</si>
  <si>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</si>
  <si>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</si>
  <si>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</si>
  <si>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</si>
  <si>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</si>
  <si>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</si>
  <si>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</si>
  <si>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</si>
  <si>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</si>
  <si>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</si>
  <si>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</si>
  <si>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</si>
  <si>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</si>
  <si>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</si>
  <si>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</si>
  <si>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</si>
  <si>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</si>
  <si>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</si>
  <si>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</si>
  <si>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</si>
  <si>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</si>
  <si>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</si>
  <si>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</si>
  <si>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</si>
  <si>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</si>
  <si>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</si>
  <si>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</si>
  <si>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</si>
  <si>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</si>
  <si>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</si>
  <si>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</si>
  <si>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</si>
  <si>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</si>
  <si>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</si>
  <si>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</si>
  <si>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</si>
  <si>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</si>
  <si>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</si>
  <si>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</si>
  <si>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</si>
  <si>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</si>
  <si>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</si>
  <si>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</si>
  <si>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</si>
  <si>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</si>
  <si>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</si>
  <si>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</si>
  <si>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</si>
  <si>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</si>
  <si>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</si>
  <si>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</si>
  <si>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</si>
  <si>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</si>
  <si>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</si>
  <si>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</si>
  <si>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</si>
  <si>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</si>
  <si>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</si>
  <si>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</si>
  <si>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</si>
  <si>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</si>
  <si>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</si>
  <si>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</si>
  <si>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</si>
  <si>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</si>
  <si>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</si>
  <si>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</si>
  <si>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</si>
  <si>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</si>
  <si>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</si>
  <si>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</si>
  <si>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</si>
  <si>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</si>
  <si>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</si>
  <si>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</si>
  <si>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</si>
  <si>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UPDATED 7/1/2011</t>
  </si>
  <si>
    <t>LAST UPDATED 7/1/2011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</si>
</sst>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theme="1"/>
      <name val="Arial"/>
      <family val="2"/>
    </font>
    <font>
      <b/>
      <sz val="12"/>
      <color rgb="FFFF0000"/>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top style="thick"/>
      <bottom style="thick"/>
    </border>
    <border>
      <left style="thick"/>
      <right/>
      <top style="thick"/>
      <bottom style="thick"/>
    </border>
    <border>
      <left/>
      <right style="thick">
        <color rgb="FFFF0000"/>
      </right>
      <top style="thick">
        <color rgb="FFFF0000"/>
      </top>
      <bottom style="thick">
        <color rgb="FFFF0000"/>
      </bottom>
    </border>
    <border>
      <left style="thick">
        <color rgb="FFFF0000"/>
      </left>
      <right/>
      <top style="thick"/>
      <bottom style="thick"/>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border>
    <border>
      <left/>
      <right style="thick">
        <color rgb="FFFF0000"/>
      </right>
      <top style="thick"/>
      <bottom style="thick"/>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style="thick">
        <color rgb="FFFF0000"/>
      </right>
      <top style="thick">
        <color rgb="FFFF0000"/>
      </top>
      <bottom style="thick"/>
    </border>
    <border>
      <left style="thick">
        <color rgb="FFFF0000"/>
      </left>
      <right/>
      <top/>
      <bottom style="thick"/>
    </border>
    <border>
      <left/>
      <right style="thick">
        <color rgb="FFFF0000"/>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33">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7"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8" fillId="34" borderId="16" xfId="44" applyFont="1" applyFill="1" applyBorder="1" applyAlignment="1">
      <alignment/>
    </xf>
    <xf numFmtId="44" fontId="78" fillId="34" borderId="13" xfId="44" applyFont="1" applyFill="1" applyBorder="1" applyAlignment="1">
      <alignment/>
    </xf>
    <xf numFmtId="44" fontId="78" fillId="0" borderId="13" xfId="44" applyFont="1" applyBorder="1" applyAlignment="1">
      <alignment/>
    </xf>
    <xf numFmtId="44" fontId="78" fillId="37" borderId="13" xfId="44" applyFont="1" applyFill="1" applyBorder="1" applyAlignment="1">
      <alignment/>
    </xf>
    <xf numFmtId="44" fontId="78" fillId="38" borderId="13" xfId="44" applyFont="1" applyFill="1" applyBorder="1" applyAlignment="1">
      <alignment/>
    </xf>
    <xf numFmtId="44" fontId="78" fillId="37" borderId="25" xfId="44" applyFont="1" applyFill="1" applyBorder="1" applyAlignment="1">
      <alignment/>
    </xf>
    <xf numFmtId="0" fontId="2" fillId="33" borderId="21" xfId="0" applyFont="1" applyFill="1" applyBorder="1" applyAlignment="1">
      <alignment/>
    </xf>
    <xf numFmtId="0" fontId="79" fillId="0" borderId="21" xfId="0" applyFont="1" applyBorder="1" applyAlignment="1">
      <alignment/>
    </xf>
    <xf numFmtId="0" fontId="77"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7" fillId="0" borderId="13" xfId="0" applyFont="1" applyBorder="1" applyAlignment="1">
      <alignment/>
    </xf>
    <xf numFmtId="44" fontId="78" fillId="39" borderId="13" xfId="44" applyFont="1" applyFill="1" applyBorder="1" applyAlignment="1">
      <alignment/>
    </xf>
    <xf numFmtId="44" fontId="78"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8"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8"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8"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8"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8"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8"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8"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8"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8"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8"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8"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8"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8" fillId="39" borderId="50" xfId="44" applyNumberFormat="1" applyFont="1" applyFill="1" applyBorder="1" applyAlignment="1">
      <alignment/>
    </xf>
    <xf numFmtId="44" fontId="0" fillId="0" borderId="50" xfId="44" applyFont="1" applyBorder="1" applyAlignment="1">
      <alignment/>
    </xf>
    <xf numFmtId="44" fontId="78"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8" fillId="39" borderId="68" xfId="44" applyFont="1" applyFill="1" applyBorder="1" applyAlignment="1">
      <alignment/>
    </xf>
    <xf numFmtId="44" fontId="0" fillId="38" borderId="68" xfId="44" applyFont="1" applyFill="1" applyBorder="1" applyAlignment="1">
      <alignment/>
    </xf>
    <xf numFmtId="44" fontId="78"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8" fillId="43" borderId="50" xfId="44" applyNumberFormat="1" applyFont="1" applyFill="1" applyBorder="1" applyAlignment="1">
      <alignment/>
    </xf>
    <xf numFmtId="44" fontId="78"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0" fillId="39" borderId="18" xfId="44" applyNumberFormat="1" applyFont="1" applyFill="1" applyBorder="1" applyAlignment="1">
      <alignment/>
    </xf>
    <xf numFmtId="8" fontId="80" fillId="38" borderId="78" xfId="0" applyNumberFormat="1"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80" fillId="38" borderId="80" xfId="0" applyNumberFormat="1" applyFont="1" applyFill="1" applyBorder="1" applyAlignment="1">
      <alignment horizontal="center" vertical="center" wrapText="1"/>
    </xf>
    <xf numFmtId="8" fontId="4" fillId="38" borderId="81" xfId="0" applyNumberFormat="1" applyFont="1" applyFill="1" applyBorder="1" applyAlignment="1">
      <alignment horizontal="center" vertical="center" wrapText="1"/>
    </xf>
    <xf numFmtId="0" fontId="12" fillId="37" borderId="80" xfId="0" applyFont="1" applyFill="1" applyBorder="1" applyAlignment="1">
      <alignment horizontal="center" wrapText="1"/>
    </xf>
    <xf numFmtId="0" fontId="12" fillId="37" borderId="81" xfId="0" applyFont="1" applyFill="1" applyBorder="1" applyAlignment="1">
      <alignment horizontal="center" wrapText="1"/>
    </xf>
    <xf numFmtId="8" fontId="4" fillId="38" borderId="82" xfId="0" applyNumberFormat="1"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81" fillId="0" borderId="78" xfId="0" applyFont="1" applyFill="1" applyBorder="1" applyAlignment="1">
      <alignment horizontal="center" wrapText="1"/>
    </xf>
    <xf numFmtId="0" fontId="81" fillId="0" borderId="79" xfId="0" applyFont="1" applyFill="1" applyBorder="1" applyAlignment="1">
      <alignment horizontal="center" wrapText="1"/>
    </xf>
    <xf numFmtId="0" fontId="81" fillId="0" borderId="83" xfId="0" applyFont="1" applyFill="1" applyBorder="1" applyAlignment="1">
      <alignment horizontal="center" wrapText="1"/>
    </xf>
    <xf numFmtId="8" fontId="4" fillId="0" borderId="82" xfId="0" applyNumberFormat="1" applyFont="1" applyBorder="1" applyAlignment="1">
      <alignment horizontal="center" vertical="center" wrapText="1"/>
    </xf>
    <xf numFmtId="8" fontId="4" fillId="0" borderId="81" xfId="0" applyNumberFormat="1" applyFont="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0" borderId="81" xfId="0" applyNumberFormat="1" applyFont="1" applyFill="1" applyBorder="1" applyAlignment="1">
      <alignment horizontal="center" vertical="center" wrapText="1"/>
    </xf>
    <xf numFmtId="8" fontId="4" fillId="0" borderId="14" xfId="0" applyNumberFormat="1" applyFont="1" applyFill="1" applyBorder="1" applyAlignment="1">
      <alignment horizontal="center" wrapText="1"/>
    </xf>
    <xf numFmtId="8" fontId="4" fillId="37" borderId="82"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4" fillId="0" borderId="78" xfId="0" applyNumberFormat="1" applyFont="1" applyFill="1" applyBorder="1" applyAlignment="1">
      <alignment horizontal="center" vertical="center" wrapText="1"/>
    </xf>
    <xf numFmtId="8" fontId="4" fillId="0" borderId="83" xfId="0" applyNumberFormat="1" applyFont="1" applyFill="1" applyBorder="1" applyAlignment="1">
      <alignment horizontal="center" vertical="center" wrapText="1"/>
    </xf>
    <xf numFmtId="8" fontId="4" fillId="37" borderId="81" xfId="0" applyNumberFormat="1" applyFont="1" applyFill="1" applyBorder="1" applyAlignment="1">
      <alignment horizontal="center" vertical="center" wrapText="1"/>
    </xf>
    <xf numFmtId="0" fontId="4" fillId="38" borderId="82" xfId="0" applyFont="1" applyFill="1" applyBorder="1" applyAlignment="1">
      <alignment horizontal="center" vertical="center" wrapText="1"/>
    </xf>
    <xf numFmtId="0" fontId="4" fillId="38" borderId="81" xfId="0" applyFont="1" applyFill="1" applyBorder="1" applyAlignment="1">
      <alignment horizontal="center" vertical="center" wrapText="1"/>
    </xf>
    <xf numFmtId="8" fontId="80" fillId="37" borderId="82" xfId="0" applyNumberFormat="1" applyFont="1" applyFill="1" applyBorder="1" applyAlignment="1">
      <alignment horizontal="center" vertical="center" wrapText="1"/>
    </xf>
    <xf numFmtId="8" fontId="4" fillId="38" borderId="84"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82" xfId="0" applyNumberFormat="1" applyFont="1" applyFill="1" applyBorder="1" applyAlignment="1">
      <alignment horizont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8" fontId="4" fillId="0" borderId="80" xfId="0" applyNumberFormat="1" applyFont="1" applyFill="1" applyBorder="1" applyAlignment="1">
      <alignment horizontal="center" vertical="center" wrapText="1"/>
    </xf>
    <xf numFmtId="8" fontId="82" fillId="0" borderId="86" xfId="0" applyNumberFormat="1" applyFont="1" applyBorder="1" applyAlignment="1">
      <alignment horizontal="center"/>
    </xf>
    <xf numFmtId="8" fontId="0" fillId="0" borderId="86" xfId="0" applyNumberFormat="1" applyBorder="1" applyAlignment="1">
      <alignment horizontal="center"/>
    </xf>
    <xf numFmtId="0" fontId="4" fillId="0" borderId="14" xfId="0"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11" fillId="38" borderId="81" xfId="0" applyNumberFormat="1" applyFont="1" applyFill="1" applyBorder="1" applyAlignment="1">
      <alignment horizontal="center" vertical="center" wrapText="1"/>
    </xf>
    <xf numFmtId="8" fontId="4" fillId="0" borderId="87"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0" fontId="11" fillId="0" borderId="81" xfId="0" applyFont="1" applyFill="1" applyBorder="1" applyAlignment="1">
      <alignment horizontal="center" wrapText="1"/>
    </xf>
    <xf numFmtId="0" fontId="11" fillId="0" borderId="14"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92" xfId="0" applyFont="1" applyFill="1" applyBorder="1" applyAlignment="1">
      <alignment horizontal="center" wrapText="1"/>
    </xf>
    <xf numFmtId="0" fontId="11" fillId="0" borderId="22" xfId="0" applyFont="1" applyFill="1" applyBorder="1" applyAlignment="1">
      <alignment horizontal="center" wrapText="1"/>
    </xf>
    <xf numFmtId="0" fontId="82" fillId="0" borderId="93" xfId="0" applyFont="1" applyFill="1" applyBorder="1" applyAlignment="1">
      <alignment horizontal="center"/>
    </xf>
    <xf numFmtId="0" fontId="82" fillId="0" borderId="94" xfId="0" applyFont="1" applyFill="1" applyBorder="1" applyAlignment="1">
      <alignment horizontal="center"/>
    </xf>
    <xf numFmtId="0" fontId="82" fillId="0" borderId="95" xfId="0" applyFont="1" applyFill="1" applyBorder="1" applyAlignment="1">
      <alignment horizontal="center"/>
    </xf>
    <xf numFmtId="8" fontId="0" fillId="0" borderId="22" xfId="0" applyNumberFormat="1" applyBorder="1" applyAlignment="1">
      <alignment horizontal="center"/>
    </xf>
    <xf numFmtId="8" fontId="11" fillId="38" borderId="14" xfId="0" applyNumberFormat="1" applyFont="1" applyFill="1" applyBorder="1" applyAlignment="1">
      <alignment horizontal="center" wrapText="1"/>
    </xf>
    <xf numFmtId="8" fontId="82" fillId="0" borderId="96" xfId="0" applyNumberFormat="1" applyFont="1" applyBorder="1" applyAlignment="1">
      <alignment horizontal="center"/>
    </xf>
    <xf numFmtId="8" fontId="0" fillId="0" borderId="96"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8" xfId="0" applyFont="1" applyBorder="1" applyAlignment="1">
      <alignment horizontal="center" wrapText="1"/>
    </xf>
    <xf numFmtId="0" fontId="11" fillId="0" borderId="92"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8" fontId="4" fillId="38" borderId="80" xfId="0" applyNumberFormat="1"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9" xfId="0" applyNumberFormat="1" applyFont="1" applyFill="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zoomScale="96" zoomScaleNormal="96"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25</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26.875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117</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109</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0</v>
      </c>
      <c r="AL18" s="33" t="s">
        <v>60</v>
      </c>
      <c r="AM18" s="39">
        <v>0</v>
      </c>
      <c r="AN18" s="33" t="s">
        <v>60</v>
      </c>
      <c r="AO18" s="39">
        <v>0</v>
      </c>
      <c r="AP18" s="32" t="s">
        <v>60</v>
      </c>
      <c r="AQ18" s="39">
        <v>0</v>
      </c>
      <c r="AR18" s="32" t="s">
        <v>60</v>
      </c>
      <c r="AS18" s="39">
        <v>0</v>
      </c>
      <c r="AT18" s="32" t="s">
        <v>60</v>
      </c>
      <c r="AU18" s="39">
        <v>0</v>
      </c>
      <c r="AV18" s="32" t="s">
        <v>60</v>
      </c>
      <c r="AW18" s="39">
        <v>0</v>
      </c>
      <c r="AX18" s="32" t="s">
        <v>60</v>
      </c>
      <c r="AY18" s="39">
        <v>0</v>
      </c>
    </row>
    <row r="19" spans="1:51" ht="14.25" customHeight="1" thickBot="1" thickTop="1">
      <c r="A19" s="1"/>
      <c r="B19" s="1"/>
      <c r="C19" s="1"/>
      <c r="E19" s="1"/>
      <c r="G19" s="1"/>
      <c r="H19" s="496" t="s">
        <v>110</v>
      </c>
      <c r="I19" s="497"/>
      <c r="J19" s="496" t="s">
        <v>111</v>
      </c>
      <c r="K19" s="497"/>
      <c r="L19" s="1"/>
      <c r="M19" s="1"/>
      <c r="Q19" s="1"/>
      <c r="S19" s="1"/>
      <c r="U19" s="1"/>
      <c r="V19" s="1"/>
      <c r="W19" s="1"/>
      <c r="X19" s="1"/>
      <c r="Y19" s="1"/>
      <c r="AA19" s="1"/>
      <c r="AC19" s="1"/>
      <c r="AF19" s="1"/>
      <c r="AH19" s="1"/>
      <c r="AJ19" s="488" t="s">
        <v>46</v>
      </c>
      <c r="AK19" s="489"/>
      <c r="AL19" s="471" t="s">
        <v>95</v>
      </c>
      <c r="AM19" s="472"/>
      <c r="AN19" s="472"/>
      <c r="AO19" s="473"/>
      <c r="AP19" s="466" t="s">
        <v>108</v>
      </c>
      <c r="AQ19" s="466"/>
      <c r="AR19" s="466"/>
      <c r="AS19" s="466"/>
      <c r="AT19" s="466"/>
      <c r="AU19" s="466"/>
      <c r="AV19" s="466"/>
      <c r="AW19" s="467"/>
      <c r="AX19" s="478"/>
      <c r="AY19" s="478"/>
    </row>
    <row r="20" spans="1:51" ht="42" customHeight="1" thickBot="1" thickTop="1">
      <c r="A20" s="31" t="s">
        <v>59</v>
      </c>
      <c r="B20" s="490" t="s">
        <v>6</v>
      </c>
      <c r="C20" s="490"/>
      <c r="D20" s="491" t="s">
        <v>7</v>
      </c>
      <c r="E20" s="491"/>
      <c r="F20" s="492" t="s">
        <v>20</v>
      </c>
      <c r="G20" s="484"/>
      <c r="H20" s="494" t="s">
        <v>58</v>
      </c>
      <c r="I20" s="494"/>
      <c r="J20" s="493" t="s">
        <v>58</v>
      </c>
      <c r="K20" s="493"/>
      <c r="L20" s="495" t="s">
        <v>97</v>
      </c>
      <c r="M20" s="477"/>
      <c r="N20" s="484" t="s">
        <v>13</v>
      </c>
      <c r="O20" s="485"/>
      <c r="P20" s="469" t="s">
        <v>8</v>
      </c>
      <c r="Q20" s="470"/>
      <c r="R20" s="484" t="s">
        <v>90</v>
      </c>
      <c r="S20" s="485"/>
      <c r="T20" s="469" t="s">
        <v>9</v>
      </c>
      <c r="U20" s="470"/>
      <c r="V20" s="468" t="s">
        <v>39</v>
      </c>
      <c r="W20" s="465"/>
      <c r="X20" s="476" t="s">
        <v>80</v>
      </c>
      <c r="Y20" s="477"/>
      <c r="Z20" s="484" t="s">
        <v>10</v>
      </c>
      <c r="AA20" s="485"/>
      <c r="AB20" s="469" t="s">
        <v>81</v>
      </c>
      <c r="AC20" s="470"/>
      <c r="AD20" s="468" t="s">
        <v>71</v>
      </c>
      <c r="AE20" s="465"/>
      <c r="AF20" s="474" t="s">
        <v>48</v>
      </c>
      <c r="AG20" s="475"/>
      <c r="AH20" s="468" t="s">
        <v>12</v>
      </c>
      <c r="AI20" s="465"/>
      <c r="AJ20" s="479" t="s">
        <v>104</v>
      </c>
      <c r="AK20" s="480"/>
      <c r="AL20" s="462" t="s">
        <v>105</v>
      </c>
      <c r="AM20" s="463"/>
      <c r="AN20" s="481" t="s">
        <v>103</v>
      </c>
      <c r="AO20" s="482"/>
      <c r="AP20" s="464" t="s">
        <v>105</v>
      </c>
      <c r="AQ20" s="465"/>
      <c r="AR20" s="486" t="s">
        <v>107</v>
      </c>
      <c r="AS20" s="480"/>
      <c r="AT20" s="487" t="s">
        <v>103</v>
      </c>
      <c r="AU20" s="465"/>
      <c r="AV20" s="479" t="s">
        <v>106</v>
      </c>
      <c r="AW20" s="483"/>
      <c r="AX20" s="468" t="s">
        <v>56</v>
      </c>
      <c r="AY20" s="465"/>
    </row>
    <row r="21" spans="1:51" ht="25.5" thickBot="1" thickTop="1">
      <c r="A21" s="40" t="s">
        <v>118</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A4+B5+B7+B15+IF(A4=0,-30,0)</f>
        <v>81.875</v>
      </c>
      <c r="C23" s="17">
        <f>B23*1.03</f>
        <v>84.33125</v>
      </c>
      <c r="D23" s="18">
        <f>A4+B5+B6+B7+B15</f>
        <v>181.875</v>
      </c>
      <c r="E23" s="18">
        <f>D23*1.03</f>
        <v>187.33125</v>
      </c>
      <c r="F23" s="17"/>
      <c r="G23" s="274">
        <f>F23*1.03</f>
        <v>0</v>
      </c>
      <c r="H23" s="403">
        <f>A4+B5+B6+B7+C10+B15</f>
        <v>281.875</v>
      </c>
      <c r="I23" s="18">
        <f>H23*1.03</f>
        <v>290.33125</v>
      </c>
      <c r="J23" s="264">
        <f>A4+B5+B6+B7+B10+B15</f>
        <v>331.875</v>
      </c>
      <c r="K23" s="416">
        <f>J23*1.03</f>
        <v>341.83125</v>
      </c>
      <c r="L23" s="287">
        <f>B17</f>
        <v>350</v>
      </c>
      <c r="M23" s="247">
        <f>L23*1.03</f>
        <v>360.5</v>
      </c>
      <c r="N23" s="79">
        <f>A4</f>
        <v>25</v>
      </c>
      <c r="O23" s="79">
        <f>(A4*1.04)</f>
        <v>26</v>
      </c>
      <c r="P23" s="247">
        <f>A4+B5+B6+B7+B15</f>
        <v>181.875</v>
      </c>
      <c r="Q23" s="247">
        <f>P23*1.03</f>
        <v>187.33125</v>
      </c>
      <c r="R23" s="79">
        <f>A4+B5+B6+B7+B15</f>
        <v>181.875</v>
      </c>
      <c r="S23" s="79">
        <f>R23*1.03</f>
        <v>187.33125</v>
      </c>
      <c r="T23" s="247">
        <f>A4+B5+B6+B7+B15</f>
        <v>181.875</v>
      </c>
      <c r="U23" s="247">
        <f>T23*1.03</f>
        <v>187.33125</v>
      </c>
      <c r="V23" s="79">
        <f>A4+B5+B6+B7+B12+B15</f>
        <v>231.875</v>
      </c>
      <c r="W23" s="79">
        <f>V23*1.03</f>
        <v>238.83125</v>
      </c>
      <c r="X23" s="247">
        <f>A4+B5+B6+B7+B15</f>
        <v>181.875</v>
      </c>
      <c r="Y23" s="247">
        <f>X23*1.03</f>
        <v>187.33125</v>
      </c>
      <c r="Z23" s="79">
        <f>A4+B5+B6+B7+B15</f>
        <v>181.875</v>
      </c>
      <c r="AA23" s="79">
        <f>Z23*1.03</f>
        <v>187.33125</v>
      </c>
      <c r="AB23" s="247">
        <f>A4+B5+B6+B7+B15</f>
        <v>181.875</v>
      </c>
      <c r="AC23" s="247">
        <f>AB23*1.03</f>
        <v>187.33125</v>
      </c>
      <c r="AD23" s="79">
        <f>A4</f>
        <v>25</v>
      </c>
      <c r="AE23" s="79">
        <f>AD23*1.03</f>
        <v>25.75</v>
      </c>
      <c r="AF23" s="245">
        <f>B13</f>
        <v>41</v>
      </c>
      <c r="AG23" s="18">
        <f>AF23*1.03</f>
        <v>42.230000000000004</v>
      </c>
      <c r="AH23" s="79">
        <f>A4+B5+B6+B7+B13+B15</f>
        <v>222.875</v>
      </c>
      <c r="AI23" s="79">
        <f>AH23*1.03</f>
        <v>229.56125</v>
      </c>
      <c r="AJ23" s="28">
        <f>A4+B5+B6+B7+B8+B9+(AK18*B15)</f>
        <v>288.875</v>
      </c>
      <c r="AK23" s="208">
        <f>AJ23*1.03</f>
        <v>297.54125</v>
      </c>
      <c r="AL23" s="335">
        <f>A4+B5+B6+B7+B8+B9+B15+(AM18*B14)</f>
        <v>293.875</v>
      </c>
      <c r="AM23" s="79">
        <f>AL23*1.03</f>
        <v>302.69125</v>
      </c>
      <c r="AN23" s="247">
        <f>A4+B5+B6+B7+B8+B9+B15+(AO18*B14)</f>
        <v>293.875</v>
      </c>
      <c r="AO23" s="388">
        <f>AN23*1.03</f>
        <v>302.69125</v>
      </c>
      <c r="AP23" s="329">
        <f>A4+B5+B6+B7+B8+B9+B15+B16+(AQ18*B14)</f>
        <v>318.875</v>
      </c>
      <c r="AQ23" s="264">
        <f>AP23*1.03</f>
        <v>328.44125</v>
      </c>
      <c r="AR23" s="219">
        <f>A4+B5+B6+B7+B8+B9+B15+(AS18*B14)</f>
        <v>293.875</v>
      </c>
      <c r="AS23" s="208">
        <f>AR23*1.03</f>
        <v>302.69125</v>
      </c>
      <c r="AT23" s="335">
        <f>A4+B5+B6+B7+B8+B9+B15+B16+(AU18*B14)</f>
        <v>318.875</v>
      </c>
      <c r="AU23" s="184">
        <f>AT23*1.03</f>
        <v>328.44125</v>
      </c>
      <c r="AV23" s="68">
        <f>A4+B5+B6+B7+B8+B9+B15+(AW18*B14)</f>
        <v>293.875</v>
      </c>
      <c r="AW23" s="73">
        <f>AV23*1.03</f>
        <v>302.69125</v>
      </c>
      <c r="AX23" s="228">
        <f>A4+B5+B6+B7+B8+B9+B15+B16+(AY18*B14)</f>
        <v>318.875</v>
      </c>
      <c r="AY23" s="184">
        <f>AX23*1.03</f>
        <v>328.44125</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84.33125</v>
      </c>
      <c r="D25" s="18"/>
      <c r="E25" s="45">
        <f>E23/A2</f>
        <v>187.33125</v>
      </c>
      <c r="F25" s="17"/>
      <c r="G25" s="275">
        <f>M23/A2</f>
        <v>360.5</v>
      </c>
      <c r="H25" s="403"/>
      <c r="I25" s="45">
        <f>I23/A2</f>
        <v>290.33125</v>
      </c>
      <c r="J25" s="264"/>
      <c r="K25" s="417">
        <f>K23/A2</f>
        <v>341.83125</v>
      </c>
      <c r="L25" s="287"/>
      <c r="M25" s="251">
        <f>M23/A2</f>
        <v>360.5</v>
      </c>
      <c r="N25" s="79"/>
      <c r="O25" s="80">
        <f>O23/A2</f>
        <v>26</v>
      </c>
      <c r="P25" s="247"/>
      <c r="Q25" s="251">
        <f>Q23/A2</f>
        <v>187.33125</v>
      </c>
      <c r="R25" s="79"/>
      <c r="S25" s="80">
        <f>S23/A2</f>
        <v>187.33125</v>
      </c>
      <c r="T25" s="247"/>
      <c r="U25" s="251">
        <f>U23/A2</f>
        <v>187.33125</v>
      </c>
      <c r="V25" s="79"/>
      <c r="W25" s="80">
        <f>W23/A2</f>
        <v>238.83125</v>
      </c>
      <c r="X25" s="247"/>
      <c r="Y25" s="251">
        <f>Y23/A2</f>
        <v>187.33125</v>
      </c>
      <c r="Z25" s="79"/>
      <c r="AA25" s="80">
        <f>AA23/A2</f>
        <v>187.33125</v>
      </c>
      <c r="AB25" s="247"/>
      <c r="AC25" s="251">
        <f>AC23/A2</f>
        <v>187.33125</v>
      </c>
      <c r="AD25" s="79"/>
      <c r="AE25" s="80">
        <f>AE23/A2</f>
        <v>25.75</v>
      </c>
      <c r="AF25" s="18"/>
      <c r="AG25" s="45">
        <f>AG23/A2</f>
        <v>42.230000000000004</v>
      </c>
      <c r="AH25" s="79"/>
      <c r="AI25" s="80">
        <f>AI23/A2</f>
        <v>229.56125</v>
      </c>
      <c r="AJ25" s="28"/>
      <c r="AK25" s="209">
        <f>AK23/A2</f>
        <v>297.54125</v>
      </c>
      <c r="AL25" s="335"/>
      <c r="AM25" s="80">
        <f>AM23/A2</f>
        <v>302.69125</v>
      </c>
      <c r="AN25" s="247"/>
      <c r="AO25" s="389">
        <f>AO23/A2</f>
        <v>302.69125</v>
      </c>
      <c r="AP25" s="329"/>
      <c r="AQ25" s="80">
        <f>AQ23/A2</f>
        <v>328.44125</v>
      </c>
      <c r="AR25" s="219"/>
      <c r="AS25" s="209">
        <f>AS23/A2</f>
        <v>302.69125</v>
      </c>
      <c r="AT25" s="335"/>
      <c r="AU25" s="185">
        <f>AU23/A2</f>
        <v>328.44125</v>
      </c>
      <c r="AV25" s="68"/>
      <c r="AW25" s="74">
        <f>AW23/A2</f>
        <v>302.69125</v>
      </c>
      <c r="AX25" s="228"/>
      <c r="AY25" s="185">
        <f>AY23/A2</f>
        <v>328.44125</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56.875</v>
      </c>
      <c r="C27" s="145">
        <f t="shared" si="0"/>
        <v>59.33125</v>
      </c>
      <c r="D27" s="147">
        <f t="shared" si="0"/>
        <v>156.875</v>
      </c>
      <c r="E27" s="147">
        <f t="shared" si="0"/>
        <v>162.33125</v>
      </c>
      <c r="F27" s="145">
        <f t="shared" si="0"/>
        <v>156.875</v>
      </c>
      <c r="G27" s="277">
        <f t="shared" si="0"/>
        <v>156.875</v>
      </c>
      <c r="H27" s="406">
        <f>SUM(H29:H42)</f>
        <v>256.875</v>
      </c>
      <c r="I27" s="147">
        <f>SUM(I29:I42)</f>
        <v>267.346875</v>
      </c>
      <c r="J27" s="266">
        <f t="shared" si="0"/>
        <v>306.875</v>
      </c>
      <c r="K27" s="419">
        <f t="shared" si="0"/>
        <v>316.83125</v>
      </c>
      <c r="L27" s="290">
        <f>SUM(L29:L42)</f>
        <v>350</v>
      </c>
      <c r="M27" s="253">
        <f>SUM(M29:M42)</f>
        <v>360.5</v>
      </c>
      <c r="N27" s="150"/>
      <c r="O27" s="150"/>
      <c r="P27" s="253">
        <f>SUM(P29:P42)</f>
        <v>156.875</v>
      </c>
      <c r="Q27" s="253">
        <f>SUM(Q29:Q42)</f>
        <v>162.33125</v>
      </c>
      <c r="R27" s="150">
        <f>SUM(R29:R42)</f>
        <v>156.875</v>
      </c>
      <c r="S27" s="150">
        <f aca="true" t="shared" si="1" ref="S27:Z27">SUM(S28:S42)</f>
        <v>162.33125</v>
      </c>
      <c r="T27" s="253">
        <f t="shared" si="1"/>
        <v>156.875</v>
      </c>
      <c r="U27" s="253">
        <f t="shared" si="1"/>
        <v>162.33125</v>
      </c>
      <c r="V27" s="150">
        <f t="shared" si="1"/>
        <v>206.875</v>
      </c>
      <c r="W27" s="150">
        <f t="shared" si="1"/>
        <v>213.83125</v>
      </c>
      <c r="X27" s="253">
        <f t="shared" si="1"/>
        <v>156.875</v>
      </c>
      <c r="Y27" s="253">
        <f t="shared" si="1"/>
        <v>162.33125</v>
      </c>
      <c r="Z27" s="150">
        <f t="shared" si="1"/>
        <v>156.875</v>
      </c>
      <c r="AA27" s="150">
        <f>SUM(AA29:AA42)</f>
        <v>162.33125</v>
      </c>
      <c r="AB27" s="253">
        <f>SUM(AB28:AB42)</f>
        <v>156.875</v>
      </c>
      <c r="AC27" s="253">
        <f>SUM(AC28:AC42)</f>
        <v>162.33125</v>
      </c>
      <c r="AD27" s="150"/>
      <c r="AE27" s="150"/>
      <c r="AF27" s="147">
        <f>SUM(AF28:AF42)</f>
        <v>41</v>
      </c>
      <c r="AG27" s="147">
        <f>SUM(AG28:AG42)</f>
        <v>42.230000000000004</v>
      </c>
      <c r="AH27" s="150">
        <f>SUM(AH28:AH42)</f>
        <v>197.875</v>
      </c>
      <c r="AI27" s="150">
        <f>SUM(AI28:AI42)</f>
        <v>204.56125</v>
      </c>
      <c r="AJ27" s="174">
        <f>SUM(AJ29:AJ42)</f>
        <v>268.875</v>
      </c>
      <c r="AK27" s="211">
        <f>SUM(AK29:AK42)</f>
        <v>277.54125</v>
      </c>
      <c r="AL27" s="337">
        <f aca="true" t="shared" si="2" ref="AL27:AX27">SUM(AL28:AL42)</f>
        <v>268.875</v>
      </c>
      <c r="AM27" s="150">
        <f t="shared" si="2"/>
        <v>277.69125</v>
      </c>
      <c r="AN27" s="253">
        <f t="shared" si="2"/>
        <v>268.875</v>
      </c>
      <c r="AO27" s="391">
        <f t="shared" si="2"/>
        <v>277.69125</v>
      </c>
      <c r="AP27" s="331">
        <f t="shared" si="2"/>
        <v>293.875</v>
      </c>
      <c r="AQ27" s="266">
        <f t="shared" si="2"/>
        <v>303.44125</v>
      </c>
      <c r="AR27" s="221">
        <f t="shared" si="2"/>
        <v>268.875</v>
      </c>
      <c r="AS27" s="211">
        <f t="shared" si="2"/>
        <v>277.69125</v>
      </c>
      <c r="AT27" s="337">
        <f t="shared" si="2"/>
        <v>293.875</v>
      </c>
      <c r="AU27" s="187">
        <f t="shared" si="2"/>
        <v>303.44125</v>
      </c>
      <c r="AV27" s="151">
        <f t="shared" si="2"/>
        <v>268.875</v>
      </c>
      <c r="AW27" s="160">
        <f t="shared" si="2"/>
        <v>277.69125</v>
      </c>
      <c r="AX27" s="230">
        <f t="shared" si="2"/>
        <v>193.875</v>
      </c>
      <c r="AY27" s="187">
        <f>SUM(AY29:AY42)</f>
        <v>203.44125000000003</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2.456249999999997</v>
      </c>
      <c r="D29" s="18"/>
      <c r="E29" s="18">
        <f>(E23-D23)/A2</f>
        <v>5.456250000000011</v>
      </c>
      <c r="F29" s="17"/>
      <c r="G29" s="274">
        <f>(G23-F23)/A2</f>
        <v>0</v>
      </c>
      <c r="H29" s="403"/>
      <c r="I29" s="18">
        <f>(I23-H23)/A2</f>
        <v>8.456250000000011</v>
      </c>
      <c r="J29" s="264"/>
      <c r="K29" s="416">
        <f>(K23-J23)/A2</f>
        <v>9.956250000000011</v>
      </c>
      <c r="L29" s="287"/>
      <c r="M29" s="247">
        <f>(M23-L23)/A2</f>
        <v>10.5</v>
      </c>
      <c r="N29" s="79"/>
      <c r="O29" s="79">
        <f>(A4*0.04)/A2</f>
        <v>1</v>
      </c>
      <c r="P29" s="247"/>
      <c r="Q29" s="247">
        <f>(Q23-P23)/A2</f>
        <v>5.456250000000011</v>
      </c>
      <c r="R29" s="79"/>
      <c r="S29" s="79">
        <f>(S23-R23)/A2</f>
        <v>5.456250000000011</v>
      </c>
      <c r="T29" s="247"/>
      <c r="U29" s="247">
        <f>(U23-T23)/A2</f>
        <v>5.456250000000011</v>
      </c>
      <c r="V29" s="79"/>
      <c r="W29" s="79">
        <f>(W23-V23)/A2</f>
        <v>6.956250000000011</v>
      </c>
      <c r="X29" s="247"/>
      <c r="Y29" s="247">
        <f>(Y23-X23)/A2</f>
        <v>5.456250000000011</v>
      </c>
      <c r="Z29" s="79"/>
      <c r="AA29" s="79">
        <f>(AA23-Z23)/A2</f>
        <v>5.456250000000011</v>
      </c>
      <c r="AB29" s="247"/>
      <c r="AC29" s="247">
        <f>(AC23-AB23)/A2</f>
        <v>5.456250000000011</v>
      </c>
      <c r="AD29" s="79"/>
      <c r="AE29" s="79">
        <f>(AE23-AD23)/A2</f>
        <v>0.75</v>
      </c>
      <c r="AF29" s="18"/>
      <c r="AG29" s="18">
        <f>(AG23-AF23)/A2</f>
        <v>1.230000000000004</v>
      </c>
      <c r="AH29" s="108"/>
      <c r="AI29" s="108">
        <f>(AI23-AH23)/A2</f>
        <v>6.686250000000001</v>
      </c>
      <c r="AJ29" s="28"/>
      <c r="AK29" s="208">
        <f>(AK23-AJ23)/A2</f>
        <v>8.666249999999991</v>
      </c>
      <c r="AL29" s="335"/>
      <c r="AM29" s="79">
        <f>(AM23-AL23)/A2</f>
        <v>8.816250000000025</v>
      </c>
      <c r="AN29" s="247"/>
      <c r="AO29" s="388">
        <f>(AO23-AN23)/A2</f>
        <v>8.816250000000025</v>
      </c>
      <c r="AP29" s="329"/>
      <c r="AQ29" s="264">
        <f>(AQ23-AP23)/A2</f>
        <v>9.566250000000025</v>
      </c>
      <c r="AR29" s="219"/>
      <c r="AS29" s="208">
        <f>(AS23-AR23)/A2</f>
        <v>8.816250000000025</v>
      </c>
      <c r="AT29" s="335"/>
      <c r="AU29" s="184">
        <f>(AU23-AT23)/A2</f>
        <v>9.566250000000025</v>
      </c>
      <c r="AV29" s="68"/>
      <c r="AW29" s="73">
        <f>(AW23-AV23)/A2</f>
        <v>8.816250000000025</v>
      </c>
      <c r="AX29" s="231"/>
      <c r="AY29" s="184">
        <f>(AY23-AX23)/A2</f>
        <v>9.566250000000025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27">
        <f>B7+IF(A4=0,-25,0)</f>
        <v>25</v>
      </c>
      <c r="C31" s="108">
        <f>B31/A2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0</v>
      </c>
      <c r="AK36" s="208">
        <f>(AK18*B14)/A2</f>
        <v>0</v>
      </c>
      <c r="AL36" s="335">
        <f>AM18*B14</f>
        <v>0</v>
      </c>
      <c r="AM36" s="79">
        <f>(AM18*B14)/A2</f>
        <v>0</v>
      </c>
      <c r="AN36" s="247">
        <f>AO18*B15</f>
        <v>0</v>
      </c>
      <c r="AO36" s="388">
        <f>(AO18*B15)/A2</f>
        <v>0</v>
      </c>
      <c r="AP36" s="329">
        <f>AQ18*B14</f>
        <v>0</v>
      </c>
      <c r="AQ36" s="264">
        <f>(AQ18*B14)/A2</f>
        <v>0</v>
      </c>
      <c r="AR36" s="219">
        <f>AS18*B14</f>
        <v>0</v>
      </c>
      <c r="AS36" s="208">
        <f>(AS18*B14)/A2</f>
        <v>0</v>
      </c>
      <c r="AT36" s="335">
        <f>B14*AU18</f>
        <v>0</v>
      </c>
      <c r="AU36" s="184">
        <f>(AU18*B14)/A2</f>
        <v>0</v>
      </c>
      <c r="AV36" s="68">
        <f>B14*AW18</f>
        <v>0</v>
      </c>
      <c r="AW36" s="73">
        <f>(AW18*B14)/A2</f>
        <v>0</v>
      </c>
      <c r="AX36" s="228">
        <f>AY18*B14</f>
        <v>0</v>
      </c>
      <c r="AY36" s="184">
        <f>(AY18*B14)/A2</f>
        <v>0</v>
      </c>
    </row>
    <row r="37" spans="1:51" ht="12.75">
      <c r="A37" s="21" t="s">
        <v>78</v>
      </c>
      <c r="B37" s="111">
        <f>B15+IF(A4=0,-5,0)</f>
        <v>5</v>
      </c>
      <c r="C37" s="111">
        <f>B37/A2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26.875</v>
      </c>
      <c r="C42" s="145">
        <f>(A4*1.075)/A2</f>
        <v>26.875</v>
      </c>
      <c r="D42" s="146">
        <f>A4*1.075</f>
        <v>26.875</v>
      </c>
      <c r="E42" s="147">
        <f>(A4*1.075)/A2</f>
        <v>26.875</v>
      </c>
      <c r="F42" s="179">
        <f>A4*1.075</f>
        <v>26.875</v>
      </c>
      <c r="G42" s="277">
        <f>(A4*1.075)/A2</f>
        <v>26.875</v>
      </c>
      <c r="H42" s="436">
        <f>A4*1.075</f>
        <v>26.875</v>
      </c>
      <c r="I42" s="147">
        <f>(B5*1.075)/A2</f>
        <v>28.890625</v>
      </c>
      <c r="J42" s="268">
        <f>A4*1.075</f>
        <v>26.875</v>
      </c>
      <c r="K42" s="419">
        <f>(A4*1.075)/A2</f>
        <v>26.875</v>
      </c>
      <c r="L42" s="455"/>
      <c r="M42" s="308"/>
      <c r="N42" s="150"/>
      <c r="O42" s="150"/>
      <c r="P42" s="257">
        <f>A4*1.075</f>
        <v>26.875</v>
      </c>
      <c r="Q42" s="253">
        <f>(A4*1.075)/A2</f>
        <v>26.875</v>
      </c>
      <c r="R42" s="150">
        <f>A4*1.075</f>
        <v>26.875</v>
      </c>
      <c r="S42" s="150">
        <f>(A4*1.075)/A2</f>
        <v>26.875</v>
      </c>
      <c r="T42" s="257">
        <f>A4*1.075</f>
        <v>26.875</v>
      </c>
      <c r="U42" s="253">
        <f>(A4*1.075)/A2</f>
        <v>26.875</v>
      </c>
      <c r="V42" s="149">
        <f>A4*1.075</f>
        <v>26.875</v>
      </c>
      <c r="W42" s="150">
        <f>(A4*1.075)/A2</f>
        <v>26.875</v>
      </c>
      <c r="X42" s="257">
        <f>A4*1.075</f>
        <v>26.875</v>
      </c>
      <c r="Y42" s="253">
        <f>(A4*1.075)/A2</f>
        <v>26.875</v>
      </c>
      <c r="Z42" s="149">
        <f>A4*1.075</f>
        <v>26.875</v>
      </c>
      <c r="AA42" s="150">
        <f>(A4*1.075)/A2</f>
        <v>26.875</v>
      </c>
      <c r="AB42" s="257">
        <f>A4*1.075</f>
        <v>26.875</v>
      </c>
      <c r="AC42" s="253">
        <f>(A4*1.075)/A2</f>
        <v>26.875</v>
      </c>
      <c r="AD42" s="150"/>
      <c r="AE42" s="150"/>
      <c r="AF42" s="147"/>
      <c r="AG42" s="147"/>
      <c r="AH42" s="150">
        <f>A4*1.075</f>
        <v>26.875</v>
      </c>
      <c r="AI42" s="150">
        <f>(A4*1.075)/A2</f>
        <v>26.875</v>
      </c>
      <c r="AJ42" s="174">
        <f>A4*1.075</f>
        <v>26.875</v>
      </c>
      <c r="AK42" s="211">
        <f>(A4*1.075)/A2</f>
        <v>26.875</v>
      </c>
      <c r="AL42" s="337">
        <f>A4*1.075</f>
        <v>26.875</v>
      </c>
      <c r="AM42" s="150">
        <f>(A4*1.075)/A2</f>
        <v>26.875</v>
      </c>
      <c r="AN42" s="253">
        <f>A4*1.075</f>
        <v>26.875</v>
      </c>
      <c r="AO42" s="391">
        <f>(A4*1.075)/A2</f>
        <v>26.875</v>
      </c>
      <c r="AP42" s="331">
        <f>A4*1.075</f>
        <v>26.875</v>
      </c>
      <c r="AQ42" s="266">
        <f>(A4*1.075)/A2</f>
        <v>26.875</v>
      </c>
      <c r="AR42" s="221">
        <f>A4*1.075</f>
        <v>26.875</v>
      </c>
      <c r="AS42" s="211">
        <f>(A4*1.075)/A2</f>
        <v>26.875</v>
      </c>
      <c r="AT42" s="337">
        <f>A4*1.075</f>
        <v>26.875</v>
      </c>
      <c r="AU42" s="187">
        <f>(A4*1.075)/A2</f>
        <v>26.875</v>
      </c>
      <c r="AV42" s="151">
        <f>A4*1.075</f>
        <v>26.875</v>
      </c>
      <c r="AW42" s="160">
        <f>(A4*1.075)/A2</f>
        <v>26.875</v>
      </c>
      <c r="AX42" s="230">
        <f>A4*1.075</f>
        <v>26.875</v>
      </c>
      <c r="AY42" s="187">
        <f>(A4*1.075)/A2</f>
        <v>26.875</v>
      </c>
    </row>
    <row r="43" spans="1:51" ht="12.75">
      <c r="A43" s="176" t="s">
        <v>51</v>
      </c>
      <c r="B43" s="13">
        <f aca="true" t="shared" si="3" ref="B43:G43">B42*0.1116</f>
        <v>2.99925</v>
      </c>
      <c r="C43" s="137">
        <f>C42*0.1116</f>
        <v>2.99925</v>
      </c>
      <c r="D43" s="14">
        <f t="shared" si="3"/>
        <v>2.99925</v>
      </c>
      <c r="E43" s="138">
        <f t="shared" si="3"/>
        <v>2.99925</v>
      </c>
      <c r="F43" s="13">
        <f t="shared" si="3"/>
        <v>2.99925</v>
      </c>
      <c r="G43" s="282">
        <f t="shared" si="3"/>
        <v>2.99925</v>
      </c>
      <c r="H43" s="407">
        <f>H42*0.1116</f>
        <v>2.99925</v>
      </c>
      <c r="I43" s="138">
        <f>I42*0.1116</f>
        <v>3.22419375</v>
      </c>
      <c r="J43" s="267">
        <f>J42*0.1116</f>
        <v>2.99925</v>
      </c>
      <c r="K43" s="425">
        <f>K42*0.1116</f>
        <v>2.99925</v>
      </c>
      <c r="L43" s="456"/>
      <c r="M43" s="310"/>
      <c r="N43" s="85"/>
      <c r="O43" s="85"/>
      <c r="P43" s="255">
        <f aca="true" t="shared" si="4" ref="P43:AC43">P42*0.1116</f>
        <v>2.99925</v>
      </c>
      <c r="Q43" s="258">
        <f t="shared" si="4"/>
        <v>2.99925</v>
      </c>
      <c r="R43" s="85">
        <f t="shared" si="4"/>
        <v>2.99925</v>
      </c>
      <c r="S43" s="139">
        <f t="shared" si="4"/>
        <v>2.99925</v>
      </c>
      <c r="T43" s="255">
        <f t="shared" si="4"/>
        <v>2.99925</v>
      </c>
      <c r="U43" s="258">
        <f t="shared" si="4"/>
        <v>2.99925</v>
      </c>
      <c r="V43" s="85">
        <f t="shared" si="4"/>
        <v>2.99925</v>
      </c>
      <c r="W43" s="139">
        <f t="shared" si="4"/>
        <v>2.99925</v>
      </c>
      <c r="X43" s="255">
        <f t="shared" si="4"/>
        <v>2.99925</v>
      </c>
      <c r="Y43" s="258">
        <f t="shared" si="4"/>
        <v>2.99925</v>
      </c>
      <c r="Z43" s="85">
        <f t="shared" si="4"/>
        <v>2.99925</v>
      </c>
      <c r="AA43" s="139">
        <f t="shared" si="4"/>
        <v>2.99925</v>
      </c>
      <c r="AB43" s="255">
        <f t="shared" si="4"/>
        <v>2.99925</v>
      </c>
      <c r="AC43" s="258">
        <f t="shared" si="4"/>
        <v>2.99925</v>
      </c>
      <c r="AD43" s="140"/>
      <c r="AE43" s="140"/>
      <c r="AF43" s="14"/>
      <c r="AG43" s="177"/>
      <c r="AH43" s="85">
        <f aca="true" t="shared" si="5" ref="AH43:AO43">AH42*0.1116</f>
        <v>2.99925</v>
      </c>
      <c r="AI43" s="139">
        <f t="shared" si="5"/>
        <v>2.99925</v>
      </c>
      <c r="AJ43" s="6">
        <f t="shared" si="5"/>
        <v>2.99925</v>
      </c>
      <c r="AK43" s="214">
        <f t="shared" si="5"/>
        <v>2.99925</v>
      </c>
      <c r="AL43" s="334">
        <f>AL42*0.1116</f>
        <v>2.99925</v>
      </c>
      <c r="AM43" s="139">
        <f>AM42*0.1116</f>
        <v>2.99925</v>
      </c>
      <c r="AN43" s="255">
        <f t="shared" si="5"/>
        <v>2.99925</v>
      </c>
      <c r="AO43" s="398">
        <f t="shared" si="5"/>
        <v>2.99925</v>
      </c>
      <c r="AP43" s="328">
        <f aca="true" t="shared" si="6" ref="AP43:AW43">AP42*0.1116</f>
        <v>2.99925</v>
      </c>
      <c r="AQ43" s="139">
        <f t="shared" si="6"/>
        <v>2.99925</v>
      </c>
      <c r="AR43" s="218">
        <f>AR42*0.1116</f>
        <v>2.99925</v>
      </c>
      <c r="AS43" s="214">
        <f>AS42*0.1116</f>
        <v>2.99925</v>
      </c>
      <c r="AT43" s="334">
        <f>AT42*0.1116</f>
        <v>2.99925</v>
      </c>
      <c r="AU43" s="192">
        <f>AU42*0.1116</f>
        <v>2.99925</v>
      </c>
      <c r="AV43" s="84">
        <f t="shared" si="6"/>
        <v>2.99925</v>
      </c>
      <c r="AW43" s="236">
        <f t="shared" si="6"/>
        <v>2.99925</v>
      </c>
      <c r="AX43" s="227">
        <f>AX42*0.1116</f>
        <v>2.99925</v>
      </c>
      <c r="AY43" s="192">
        <f>AY42*0.1116</f>
        <v>2.99925</v>
      </c>
    </row>
    <row r="44" spans="1:51" ht="12.75">
      <c r="A44" s="21" t="s">
        <v>52</v>
      </c>
      <c r="B44" s="17">
        <f aca="true" t="shared" si="7" ref="B44:G44">B42*0.8884</f>
        <v>23.87575</v>
      </c>
      <c r="C44" s="23">
        <f t="shared" si="7"/>
        <v>23.87575</v>
      </c>
      <c r="D44" s="18">
        <f t="shared" si="7"/>
        <v>23.87575</v>
      </c>
      <c r="E44" s="24">
        <f t="shared" si="7"/>
        <v>23.87575</v>
      </c>
      <c r="F44" s="17">
        <f t="shared" si="7"/>
        <v>23.87575</v>
      </c>
      <c r="G44" s="279">
        <f t="shared" si="7"/>
        <v>23.87575</v>
      </c>
      <c r="H44" s="403">
        <f>H42*0.8884</f>
        <v>23.87575</v>
      </c>
      <c r="I44" s="24">
        <f>I42*0.8884</f>
        <v>25.66643125</v>
      </c>
      <c r="J44" s="264">
        <f>J42*0.8884</f>
        <v>23.87575</v>
      </c>
      <c r="K44" s="422">
        <f>K42*0.8884</f>
        <v>23.87575</v>
      </c>
      <c r="L44" s="453"/>
      <c r="M44" s="311"/>
      <c r="N44" s="79"/>
      <c r="O44" s="79"/>
      <c r="P44" s="247">
        <f aca="true" t="shared" si="8" ref="P44:AC44">P42*0.8884</f>
        <v>23.87575</v>
      </c>
      <c r="Q44" s="256">
        <f t="shared" si="8"/>
        <v>23.87575</v>
      </c>
      <c r="R44" s="79">
        <f t="shared" si="8"/>
        <v>23.87575</v>
      </c>
      <c r="S44" s="81">
        <f t="shared" si="8"/>
        <v>23.87575</v>
      </c>
      <c r="T44" s="247">
        <f t="shared" si="8"/>
        <v>23.87575</v>
      </c>
      <c r="U44" s="256">
        <f t="shared" si="8"/>
        <v>23.87575</v>
      </c>
      <c r="V44" s="79">
        <f>V42*0.8884</f>
        <v>23.87575</v>
      </c>
      <c r="W44" s="81">
        <f>W42*0.8884</f>
        <v>23.87575</v>
      </c>
      <c r="X44" s="247">
        <f>X42*0.8884</f>
        <v>23.87575</v>
      </c>
      <c r="Y44" s="256">
        <f>Y42*0.8884</f>
        <v>23.87575</v>
      </c>
      <c r="Z44" s="79">
        <f t="shared" si="8"/>
        <v>23.87575</v>
      </c>
      <c r="AA44" s="81">
        <f t="shared" si="8"/>
        <v>23.87575</v>
      </c>
      <c r="AB44" s="247">
        <f t="shared" si="8"/>
        <v>23.87575</v>
      </c>
      <c r="AC44" s="256">
        <f t="shared" si="8"/>
        <v>23.87575</v>
      </c>
      <c r="AD44" s="83"/>
      <c r="AE44" s="83"/>
      <c r="AF44" s="18"/>
      <c r="AG44" s="25"/>
      <c r="AH44" s="79">
        <f aca="true" t="shared" si="9" ref="AH44:AO44">AH42*0.8884</f>
        <v>23.87575</v>
      </c>
      <c r="AI44" s="81">
        <f t="shared" si="9"/>
        <v>23.87575</v>
      </c>
      <c r="AJ44" s="28">
        <f t="shared" si="9"/>
        <v>23.87575</v>
      </c>
      <c r="AK44" s="212">
        <f t="shared" si="9"/>
        <v>23.87575</v>
      </c>
      <c r="AL44" s="335">
        <f>AL42*0.8884</f>
        <v>23.87575</v>
      </c>
      <c r="AM44" s="81">
        <f>AM42*0.8884</f>
        <v>23.87575</v>
      </c>
      <c r="AN44" s="247">
        <f t="shared" si="9"/>
        <v>23.87575</v>
      </c>
      <c r="AO44" s="394">
        <f t="shared" si="9"/>
        <v>23.87575</v>
      </c>
      <c r="AP44" s="329">
        <f aca="true" t="shared" si="10" ref="AP44:AW44">AP42*0.8884</f>
        <v>23.87575</v>
      </c>
      <c r="AQ44" s="81">
        <f t="shared" si="10"/>
        <v>23.87575</v>
      </c>
      <c r="AR44" s="219">
        <f>AR42*0.8884</f>
        <v>23.87575</v>
      </c>
      <c r="AS44" s="212">
        <f>AS42*0.8884</f>
        <v>23.87575</v>
      </c>
      <c r="AT44" s="335">
        <f>AT42*0.8884</f>
        <v>23.87575</v>
      </c>
      <c r="AU44" s="190">
        <f>AU42*0.8884</f>
        <v>23.87575</v>
      </c>
      <c r="AV44" s="68">
        <f t="shared" si="10"/>
        <v>23.87575</v>
      </c>
      <c r="AW44" s="75">
        <f t="shared" si="10"/>
        <v>23.87575</v>
      </c>
      <c r="AX44" s="231">
        <f>AX42*0.8884</f>
        <v>23.87575</v>
      </c>
      <c r="AY44" s="190">
        <f>AY42*0.8884</f>
        <v>23.87575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25</v>
      </c>
      <c r="C46" s="145">
        <f>A4/A2</f>
        <v>25</v>
      </c>
      <c r="D46" s="147">
        <f>A4</f>
        <v>25</v>
      </c>
      <c r="E46" s="147">
        <f>A4/A2</f>
        <v>25</v>
      </c>
      <c r="F46" s="145">
        <f>A4</f>
        <v>25</v>
      </c>
      <c r="G46" s="277">
        <f>A4/A2</f>
        <v>25</v>
      </c>
      <c r="H46" s="406">
        <f>A4</f>
        <v>25</v>
      </c>
      <c r="I46" s="147">
        <f>A4/A2</f>
        <v>25</v>
      </c>
      <c r="J46" s="266">
        <f>A4</f>
        <v>25</v>
      </c>
      <c r="K46" s="419">
        <f>A4/A2</f>
        <v>25</v>
      </c>
      <c r="L46" s="457"/>
      <c r="M46" s="308"/>
      <c r="N46" s="150">
        <f>SUM(N48:N50)</f>
        <v>25</v>
      </c>
      <c r="O46" s="150">
        <f>SUM(O48:O50)</f>
        <v>25</v>
      </c>
      <c r="P46" s="253">
        <f>A4</f>
        <v>25</v>
      </c>
      <c r="Q46" s="253">
        <f>A4/A2</f>
        <v>25</v>
      </c>
      <c r="R46" s="150">
        <f>A4</f>
        <v>25</v>
      </c>
      <c r="S46" s="150">
        <f>A4/A2</f>
        <v>25</v>
      </c>
      <c r="T46" s="253">
        <f>A4</f>
        <v>25</v>
      </c>
      <c r="U46" s="253">
        <f>A4/A2</f>
        <v>25</v>
      </c>
      <c r="V46" s="150">
        <f>A4-V57</f>
        <v>25</v>
      </c>
      <c r="W46" s="150">
        <f>(A4-W57)/A2</f>
        <v>25</v>
      </c>
      <c r="X46" s="253">
        <f>A4</f>
        <v>25</v>
      </c>
      <c r="Y46" s="253">
        <f>A4/A2</f>
        <v>25</v>
      </c>
      <c r="Z46" s="150">
        <f>A4</f>
        <v>25</v>
      </c>
      <c r="AA46" s="150">
        <f>A4/A2</f>
        <v>25</v>
      </c>
      <c r="AB46" s="253">
        <f>A4</f>
        <v>25</v>
      </c>
      <c r="AC46" s="253">
        <f>A4/A2</f>
        <v>25</v>
      </c>
      <c r="AD46" s="150"/>
      <c r="AE46" s="150"/>
      <c r="AF46" s="147"/>
      <c r="AG46" s="147"/>
      <c r="AH46" s="150">
        <f>A4</f>
        <v>25</v>
      </c>
      <c r="AI46" s="150">
        <f>A4/A2</f>
        <v>25</v>
      </c>
      <c r="AJ46" s="174">
        <f>A4</f>
        <v>25</v>
      </c>
      <c r="AK46" s="211">
        <f>A4/A2</f>
        <v>25</v>
      </c>
      <c r="AL46" s="337">
        <f>A4</f>
        <v>25</v>
      </c>
      <c r="AM46" s="150">
        <f>AL46/A2</f>
        <v>25</v>
      </c>
      <c r="AN46" s="253">
        <f>A4</f>
        <v>25</v>
      </c>
      <c r="AO46" s="391">
        <f>AN46/A2</f>
        <v>25</v>
      </c>
      <c r="AP46" s="331">
        <f>A4</f>
        <v>25</v>
      </c>
      <c r="AQ46" s="266">
        <f>AP46/A2</f>
        <v>25</v>
      </c>
      <c r="AR46" s="221">
        <f>A4</f>
        <v>25</v>
      </c>
      <c r="AS46" s="211">
        <f>AR46/A2</f>
        <v>25</v>
      </c>
      <c r="AT46" s="337">
        <f>A4</f>
        <v>25</v>
      </c>
      <c r="AU46" s="187">
        <f>AT46/A2</f>
        <v>25</v>
      </c>
      <c r="AV46" s="151">
        <f>A4</f>
        <v>25</v>
      </c>
      <c r="AW46" s="160">
        <f>AV46/A2</f>
        <v>25</v>
      </c>
      <c r="AX46" s="230">
        <f>A4</f>
        <v>25</v>
      </c>
      <c r="AY46" s="187">
        <f>A4/A2</f>
        <v>25</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11</v>
      </c>
      <c r="C48" s="17">
        <f t="shared" si="11"/>
        <v>11</v>
      </c>
      <c r="D48" s="18">
        <f t="shared" si="11"/>
        <v>11</v>
      </c>
      <c r="E48" s="18">
        <f t="shared" si="11"/>
        <v>11</v>
      </c>
      <c r="F48" s="17">
        <f t="shared" si="11"/>
        <v>11</v>
      </c>
      <c r="G48" s="274">
        <f t="shared" si="11"/>
        <v>11</v>
      </c>
      <c r="H48" s="403">
        <f>H46*0.44</f>
        <v>11</v>
      </c>
      <c r="I48" s="18">
        <f>I46*0.44</f>
        <v>11</v>
      </c>
      <c r="J48" s="264">
        <f t="shared" si="11"/>
        <v>11</v>
      </c>
      <c r="K48" s="416">
        <f t="shared" si="11"/>
        <v>11</v>
      </c>
      <c r="L48" s="453"/>
      <c r="M48" s="306"/>
      <c r="N48" s="108">
        <f>N23/4</f>
        <v>6.25</v>
      </c>
      <c r="O48" s="108">
        <f>(A4*0.25)/A2</f>
        <v>6.25</v>
      </c>
      <c r="P48" s="247"/>
      <c r="Q48" s="247"/>
      <c r="R48" s="79">
        <f>(R46*0.44)/2</f>
        <v>5.5</v>
      </c>
      <c r="S48" s="79">
        <f>(S46*0.44)/2</f>
        <v>5.5</v>
      </c>
      <c r="T48" s="247"/>
      <c r="U48" s="247"/>
      <c r="V48" s="79">
        <f>(V46*0.44)*0.25</f>
        <v>2.75</v>
      </c>
      <c r="W48" s="79">
        <f>(W46*0.44)*0.25</f>
        <v>2.75</v>
      </c>
      <c r="X48" s="247">
        <f>(X46*0.44)*0.25</f>
        <v>2.75</v>
      </c>
      <c r="Y48" s="247">
        <f>(Y46*0.44)*0.25</f>
        <v>2.75</v>
      </c>
      <c r="Z48" s="79"/>
      <c r="AA48" s="79"/>
      <c r="AB48" s="247">
        <f>(AB46*0.44)*0.25</f>
        <v>2.75</v>
      </c>
      <c r="AC48" s="247">
        <f>(AC46*0.44)*0.25</f>
        <v>2.75</v>
      </c>
      <c r="AD48" s="79"/>
      <c r="AE48" s="79"/>
      <c r="AF48" s="18"/>
      <c r="AG48" s="18"/>
      <c r="AH48" s="79">
        <f>AH46*0.44</f>
        <v>11</v>
      </c>
      <c r="AI48" s="79">
        <f>AI46*0.44</f>
        <v>11</v>
      </c>
      <c r="AJ48" s="28">
        <f>(AJ46-AJ56)*0.44</f>
        <v>-33</v>
      </c>
      <c r="AK48" s="208">
        <f>AJ48/A2</f>
        <v>-33</v>
      </c>
      <c r="AL48" s="335">
        <f>(AL46-(AL56+AL57))*0.44</f>
        <v>-33</v>
      </c>
      <c r="AM48" s="79">
        <f>AL48/A2</f>
        <v>-33</v>
      </c>
      <c r="AN48" s="247">
        <f>(AN46-(AN56+AN57))*0.44</f>
        <v>-121</v>
      </c>
      <c r="AO48" s="388">
        <f>AN48/A2</f>
        <v>-121</v>
      </c>
      <c r="AP48" s="329">
        <f>(AP46-AP56)*0.44</f>
        <v>-33</v>
      </c>
      <c r="AQ48" s="264">
        <f>AP48/A2</f>
        <v>-33</v>
      </c>
      <c r="AR48" s="219">
        <f>(AR46-AR56)*0.44</f>
        <v>-33</v>
      </c>
      <c r="AS48" s="208">
        <f>AR48/A2</f>
        <v>-33</v>
      </c>
      <c r="AT48" s="335">
        <f>(AT46-(AT56+AT57))*0.44</f>
        <v>-121</v>
      </c>
      <c r="AU48" s="184">
        <f>AT48/A2</f>
        <v>-121</v>
      </c>
      <c r="AV48" s="68">
        <f>(AV46-(AV56+AV57))*0.44</f>
        <v>-121</v>
      </c>
      <c r="AW48" s="73">
        <f>AV48/A2</f>
        <v>-121</v>
      </c>
      <c r="AX48" s="231">
        <f>(AX46-AX56)*0.44</f>
        <v>-33</v>
      </c>
      <c r="AY48" s="184">
        <f>AX48/A2</f>
        <v>-33</v>
      </c>
    </row>
    <row r="49" spans="1:51" ht="12.75">
      <c r="A49" s="22" t="s">
        <v>53</v>
      </c>
      <c r="B49" s="17">
        <f aca="true" t="shared" si="12" ref="B49:K49">B46*0.56</f>
        <v>14.000000000000002</v>
      </c>
      <c r="C49" s="17">
        <f t="shared" si="12"/>
        <v>14.000000000000002</v>
      </c>
      <c r="D49" s="18">
        <f t="shared" si="12"/>
        <v>14.000000000000002</v>
      </c>
      <c r="E49" s="18">
        <f t="shared" si="12"/>
        <v>14.000000000000002</v>
      </c>
      <c r="F49" s="17">
        <f t="shared" si="12"/>
        <v>14.000000000000002</v>
      </c>
      <c r="G49" s="274">
        <f t="shared" si="12"/>
        <v>14.000000000000002</v>
      </c>
      <c r="H49" s="403">
        <f>H46*0.56</f>
        <v>14.000000000000002</v>
      </c>
      <c r="I49" s="18">
        <f>I46*0.56</f>
        <v>14.000000000000002</v>
      </c>
      <c r="J49" s="264">
        <f t="shared" si="12"/>
        <v>14.000000000000002</v>
      </c>
      <c r="K49" s="416">
        <f t="shared" si="12"/>
        <v>14.000000000000002</v>
      </c>
      <c r="L49" s="453"/>
      <c r="M49" s="306"/>
      <c r="N49" s="108">
        <f>N23/2</f>
        <v>12.5</v>
      </c>
      <c r="O49" s="108">
        <f>(A4*0.5)/A2</f>
        <v>12.5</v>
      </c>
      <c r="P49" s="247"/>
      <c r="Q49" s="247"/>
      <c r="R49" s="79">
        <f>(R46*0.56)/2</f>
        <v>7.000000000000001</v>
      </c>
      <c r="S49" s="79">
        <f>(S46*0.56)/2</f>
        <v>7.000000000000001</v>
      </c>
      <c r="T49" s="247"/>
      <c r="U49" s="247"/>
      <c r="V49" s="79">
        <f>(V46*0.56)*0.25</f>
        <v>3.5000000000000004</v>
      </c>
      <c r="W49" s="79">
        <f>(W46*0.56)*0.25</f>
        <v>3.5000000000000004</v>
      </c>
      <c r="X49" s="247">
        <f>(X46*0.56)*0.25</f>
        <v>3.5000000000000004</v>
      </c>
      <c r="Y49" s="247">
        <f>(Y46*0.56)*0.25</f>
        <v>3.5000000000000004</v>
      </c>
      <c r="Z49" s="79"/>
      <c r="AA49" s="79"/>
      <c r="AB49" s="247">
        <f>(AB46*0.56)*0.25</f>
        <v>3.5000000000000004</v>
      </c>
      <c r="AC49" s="247">
        <f>(AC46*0.56)*0.25</f>
        <v>3.5000000000000004</v>
      </c>
      <c r="AD49" s="79">
        <f>A4</f>
        <v>25</v>
      </c>
      <c r="AE49" s="79">
        <f>A4/A2</f>
        <v>25</v>
      </c>
      <c r="AF49" s="18"/>
      <c r="AG49" s="18"/>
      <c r="AH49" s="79">
        <f>AH46*0.56</f>
        <v>14.000000000000002</v>
      </c>
      <c r="AI49" s="79">
        <f>AI46*0.56</f>
        <v>14.000000000000002</v>
      </c>
      <c r="AJ49" s="28">
        <f>(AJ46-AJ56)*0.56</f>
        <v>-42.00000000000001</v>
      </c>
      <c r="AK49" s="208">
        <f>AJ49/A2</f>
        <v>-42.00000000000001</v>
      </c>
      <c r="AL49" s="335">
        <f>(A4-(AL56+AL57))*0.56</f>
        <v>-42.00000000000001</v>
      </c>
      <c r="AM49" s="79">
        <f>AL49/A2</f>
        <v>-42.00000000000001</v>
      </c>
      <c r="AN49" s="247">
        <f>(A4-(AN56+AN57))*0.56</f>
        <v>-154.00000000000003</v>
      </c>
      <c r="AO49" s="388">
        <f>AN49/A2</f>
        <v>-154.00000000000003</v>
      </c>
      <c r="AP49" s="329">
        <f>(AP46-AP56)*0.56</f>
        <v>-42.00000000000001</v>
      </c>
      <c r="AQ49" s="264">
        <f>AP49/A2</f>
        <v>-42.00000000000001</v>
      </c>
      <c r="AR49" s="219">
        <f>(AR46-AR56)*0.56</f>
        <v>-42.00000000000001</v>
      </c>
      <c r="AS49" s="208">
        <f>AR49/A2</f>
        <v>-42.00000000000001</v>
      </c>
      <c r="AT49" s="335">
        <f>(A4-(AT56+AT57))*0.56</f>
        <v>-154.00000000000003</v>
      </c>
      <c r="AU49" s="184">
        <f>AT49/A2</f>
        <v>-154.00000000000003</v>
      </c>
      <c r="AV49" s="68">
        <f>(A4-(AV56+AV57))*0.56</f>
        <v>-154.00000000000003</v>
      </c>
      <c r="AW49" s="73">
        <f>AV49/A2</f>
        <v>-154.00000000000003</v>
      </c>
      <c r="AX49" s="231">
        <f>(AX46-AX56)*0.56</f>
        <v>-42.00000000000001</v>
      </c>
      <c r="AY49" s="184">
        <f>AX49/A2</f>
        <v>-42.00000000000001</v>
      </c>
    </row>
    <row r="50" spans="1:51" ht="12.75">
      <c r="A50" s="21" t="s">
        <v>2</v>
      </c>
      <c r="B50" s="17"/>
      <c r="C50" s="17"/>
      <c r="D50" s="18"/>
      <c r="E50" s="18"/>
      <c r="F50" s="17"/>
      <c r="G50" s="274"/>
      <c r="H50" s="403"/>
      <c r="I50" s="18"/>
      <c r="J50" s="264"/>
      <c r="K50" s="416"/>
      <c r="L50" s="453"/>
      <c r="M50" s="306"/>
      <c r="N50" s="108">
        <f>N23/4</f>
        <v>6.25</v>
      </c>
      <c r="O50" s="108">
        <f>(A4*0.25)/A2</f>
        <v>6.25</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25</v>
      </c>
      <c r="Q51" s="108">
        <f>A4/A2</f>
        <v>25</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12.5</v>
      </c>
      <c r="S52" s="108">
        <f>(A4/2)/A2</f>
        <v>12.5</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25</v>
      </c>
      <c r="U53" s="108">
        <f>A4/A2</f>
        <v>25</v>
      </c>
      <c r="V53" s="108">
        <f>V46*0.75</f>
        <v>18.75</v>
      </c>
      <c r="W53" s="108">
        <f>W46*0.75</f>
        <v>18.75</v>
      </c>
      <c r="X53" s="108">
        <f>X46*0.75</f>
        <v>18.75</v>
      </c>
      <c r="Y53" s="108">
        <f>Y46*0.75</f>
        <v>18.75</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25</v>
      </c>
      <c r="AA54" s="108">
        <f>A4/A2</f>
        <v>25</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18.75</v>
      </c>
      <c r="AC55" s="108">
        <f>(A4*0.75)/A2</f>
        <v>18.75</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f>IF(A4=0,0,100)</f>
        <v>100</v>
      </c>
      <c r="AK56" s="215">
        <f>AJ56/A2</f>
        <v>100</v>
      </c>
      <c r="AL56" s="242">
        <f>IF(A4=0,0,100)</f>
        <v>100</v>
      </c>
      <c r="AM56" s="127">
        <f>AL56/A2</f>
        <v>100</v>
      </c>
      <c r="AN56" s="108">
        <f>IF(A4=0,0,100)</f>
        <v>100</v>
      </c>
      <c r="AO56" s="443">
        <f>AN56/A2</f>
        <v>100</v>
      </c>
      <c r="AP56" s="222">
        <f>IF(A4=0,0,100)</f>
        <v>100</v>
      </c>
      <c r="AQ56" s="127">
        <f>AP56/A2</f>
        <v>100</v>
      </c>
      <c r="AR56" s="222">
        <f>IF(A4=0,0,100)</f>
        <v>100</v>
      </c>
      <c r="AS56" s="215">
        <f>AR56/A2</f>
        <v>100</v>
      </c>
      <c r="AT56" s="242">
        <f>IF(A4=0,0,100)</f>
        <v>100</v>
      </c>
      <c r="AU56" s="193">
        <f>AT56/A2</f>
        <v>100</v>
      </c>
      <c r="AV56" s="127">
        <f>IF(A4=0,0,100)</f>
        <v>100</v>
      </c>
      <c r="AW56" s="193">
        <f>AV56/A2</f>
        <v>100</v>
      </c>
      <c r="AX56" s="222">
        <f>IF(A4=0,0,100)</f>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f>IF(A4=0,0,200)</f>
        <v>200</v>
      </c>
      <c r="AO57" s="444">
        <f>AN57/A2</f>
        <v>200</v>
      </c>
      <c r="AP57" s="235"/>
      <c r="AQ57" s="90"/>
      <c r="AR57" s="223"/>
      <c r="AS57" s="216"/>
      <c r="AT57" s="243">
        <f>IF(A4=0,0,200)</f>
        <v>200</v>
      </c>
      <c r="AU57" s="225">
        <f>AT57/A2</f>
        <v>200</v>
      </c>
      <c r="AV57" s="109">
        <f>IF(A4=0,0,200)</f>
        <v>200</v>
      </c>
      <c r="AW57" s="225">
        <f>AV57/A2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mergeCells count="31">
    <mergeCell ref="H19:I19"/>
    <mergeCell ref="J19:K19"/>
    <mergeCell ref="P20:Q20"/>
    <mergeCell ref="AD20:AE20"/>
    <mergeCell ref="V20:W20"/>
    <mergeCell ref="R20:S20"/>
    <mergeCell ref="B20:C20"/>
    <mergeCell ref="D20:E20"/>
    <mergeCell ref="F20:G20"/>
    <mergeCell ref="J20:K20"/>
    <mergeCell ref="N20:O20"/>
    <mergeCell ref="H20:I20"/>
    <mergeCell ref="L20:M20"/>
    <mergeCell ref="AX19:AY19"/>
    <mergeCell ref="AX20:AY20"/>
    <mergeCell ref="AJ20:AK20"/>
    <mergeCell ref="AN20:AO20"/>
    <mergeCell ref="AV20:AW20"/>
    <mergeCell ref="Z20:AA20"/>
    <mergeCell ref="AB20:AC20"/>
    <mergeCell ref="AR20:AS20"/>
    <mergeCell ref="AT20:AU20"/>
    <mergeCell ref="AJ19:AK19"/>
    <mergeCell ref="AL20:AM20"/>
    <mergeCell ref="AP20:AQ20"/>
    <mergeCell ref="AP19:AW19"/>
    <mergeCell ref="AH20:AI20"/>
    <mergeCell ref="T20:U20"/>
    <mergeCell ref="AL19:AO19"/>
    <mergeCell ref="AF20:AG20"/>
    <mergeCell ref="X20:Y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07" t="s">
        <v>95</v>
      </c>
      <c r="AG17" s="508"/>
      <c r="AH17" s="511" t="s">
        <v>115</v>
      </c>
      <c r="AI17" s="512"/>
      <c r="AJ17" s="512"/>
      <c r="AK17" s="513"/>
      <c r="AP17" s="1"/>
      <c r="AR17" s="1"/>
    </row>
    <row r="18" spans="1:44" ht="14.25" customHeight="1" thickBot="1" thickTop="1">
      <c r="A18" s="1"/>
      <c r="C18" s="1"/>
      <c r="E18" s="1"/>
      <c r="G18" s="1"/>
      <c r="H18" s="496" t="s">
        <v>110</v>
      </c>
      <c r="I18" s="497"/>
      <c r="J18" s="496" t="s">
        <v>111</v>
      </c>
      <c r="K18" s="497"/>
      <c r="L18" s="514"/>
      <c r="M18" s="514"/>
      <c r="Q18" s="1"/>
      <c r="S18" s="1"/>
      <c r="U18" s="1"/>
      <c r="V18" s="1"/>
      <c r="W18" s="1"/>
      <c r="X18" s="1"/>
      <c r="Y18" s="1"/>
      <c r="AA18" s="1"/>
      <c r="AC18" s="1"/>
      <c r="AD18" s="515" t="s">
        <v>46</v>
      </c>
      <c r="AE18" s="515"/>
      <c r="AF18" s="509"/>
      <c r="AG18" s="510"/>
      <c r="AH18" s="505" t="s">
        <v>113</v>
      </c>
      <c r="AI18" s="506"/>
      <c r="AJ18" s="505" t="s">
        <v>114</v>
      </c>
      <c r="AK18" s="506"/>
      <c r="AL18" s="503"/>
      <c r="AM18" s="504"/>
      <c r="AP18" s="1"/>
      <c r="AR18" s="1"/>
    </row>
    <row r="19" spans="1:49" ht="42" customHeight="1" thickBot="1" thickTop="1">
      <c r="A19" s="65" t="s">
        <v>92</v>
      </c>
      <c r="B19" s="490" t="s">
        <v>6</v>
      </c>
      <c r="C19" s="490"/>
      <c r="D19" s="491" t="s">
        <v>7</v>
      </c>
      <c r="E19" s="491"/>
      <c r="F19" s="492" t="s">
        <v>20</v>
      </c>
      <c r="G19" s="484"/>
      <c r="H19" s="494" t="s">
        <v>43</v>
      </c>
      <c r="I19" s="494"/>
      <c r="J19" s="493" t="s">
        <v>43</v>
      </c>
      <c r="K19" s="493"/>
      <c r="L19" s="495" t="s">
        <v>97</v>
      </c>
      <c r="M19" s="477"/>
      <c r="N19" s="484" t="s">
        <v>13</v>
      </c>
      <c r="O19" s="485"/>
      <c r="P19" s="469" t="s">
        <v>8</v>
      </c>
      <c r="Q19" s="470"/>
      <c r="R19" s="484" t="s">
        <v>14</v>
      </c>
      <c r="S19" s="485"/>
      <c r="T19" s="469" t="s">
        <v>9</v>
      </c>
      <c r="U19" s="470"/>
      <c r="V19" s="468" t="s">
        <v>39</v>
      </c>
      <c r="W19" s="465"/>
      <c r="X19" s="476" t="s">
        <v>101</v>
      </c>
      <c r="Y19" s="477"/>
      <c r="Z19" s="484" t="s">
        <v>10</v>
      </c>
      <c r="AA19" s="485"/>
      <c r="AB19" s="469" t="s">
        <v>11</v>
      </c>
      <c r="AC19" s="470"/>
      <c r="AD19" s="468" t="s">
        <v>91</v>
      </c>
      <c r="AE19" s="465"/>
      <c r="AF19" s="476" t="s">
        <v>91</v>
      </c>
      <c r="AG19" s="495"/>
      <c r="AH19" s="487" t="s">
        <v>91</v>
      </c>
      <c r="AI19" s="465"/>
      <c r="AJ19" s="476" t="s">
        <v>91</v>
      </c>
      <c r="AK19" s="501"/>
      <c r="AL19" s="499" t="s">
        <v>70</v>
      </c>
      <c r="AM19" s="500"/>
      <c r="AN19" s="476" t="s">
        <v>71</v>
      </c>
      <c r="AO19" s="477"/>
      <c r="AP19" s="468" t="s">
        <v>83</v>
      </c>
      <c r="AQ19" s="465"/>
      <c r="AR19" s="476" t="s">
        <v>12</v>
      </c>
      <c r="AS19" s="477"/>
      <c r="AT19" s="502" t="s">
        <v>84</v>
      </c>
      <c r="AU19" s="502"/>
      <c r="AV19" s="498" t="s">
        <v>73</v>
      </c>
      <c r="AW19" s="498"/>
    </row>
    <row r="20" spans="1:49" ht="25.5" thickBot="1" thickTop="1">
      <c r="A20" s="40" t="s">
        <v>119</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286">
        <f>B16</f>
        <v>150</v>
      </c>
      <c r="M22" s="250">
        <f>L22*1.03</f>
        <v>154.5</v>
      </c>
      <c r="N22" s="78">
        <f>A4</f>
        <v>0</v>
      </c>
      <c r="O22" s="78">
        <f>N22/A2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f>
        <v>167</v>
      </c>
      <c r="AI22" s="78">
        <f>AH22*1.03</f>
        <v>172.01</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0</v>
      </c>
      <c r="D24" s="45"/>
      <c r="E24" s="45">
        <f>E26+E44</f>
        <v>55.825</v>
      </c>
      <c r="F24" s="44"/>
      <c r="G24" s="275">
        <f>G26+G47</f>
        <v>28.325</v>
      </c>
      <c r="H24" s="404"/>
      <c r="I24" s="45">
        <f>I26+I47</f>
        <v>79.825</v>
      </c>
      <c r="J24" s="80"/>
      <c r="K24" s="417">
        <f>K26+K47</f>
        <v>105.575</v>
      </c>
      <c r="L24" s="288"/>
      <c r="M24" s="251">
        <f>M26+M47</f>
        <v>77.25</v>
      </c>
      <c r="N24" s="80"/>
      <c r="O24" s="80">
        <f>O28+O46+O47+O48</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AE26+AE40</f>
        <v>83.43</v>
      </c>
      <c r="AF24" s="251"/>
      <c r="AG24" s="363">
        <f>AG26+AG44</f>
        <v>86.005</v>
      </c>
      <c r="AH24" s="375"/>
      <c r="AI24" s="80">
        <f>AI26+AI44</f>
        <v>86.005</v>
      </c>
      <c r="AJ24" s="251"/>
      <c r="AK24" s="389">
        <f>AK26+AK44</f>
        <v>86.38</v>
      </c>
      <c r="AL24" s="382"/>
      <c r="AM24" s="80">
        <f>AM26+AM44</f>
        <v>15.450000000000001</v>
      </c>
      <c r="AN24" s="251"/>
      <c r="AO24" s="251">
        <f>AO28+AO47</f>
        <v>0</v>
      </c>
      <c r="AP24" s="80"/>
      <c r="AQ24" s="80">
        <f>AQ26</f>
        <v>21.115000000000002</v>
      </c>
      <c r="AR24" s="251"/>
      <c r="AS24" s="347">
        <f>AS26+AS47</f>
        <v>49.44</v>
      </c>
      <c r="AT24" s="80"/>
      <c r="AU24" s="80">
        <f>E26+E44</f>
        <v>55.825</v>
      </c>
      <c r="AV24" s="251"/>
      <c r="AW24" s="318">
        <f>AW26+AW44</f>
        <v>0</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55.825</v>
      </c>
      <c r="F26" s="145">
        <f>SUM(F28:F40)</f>
        <v>55</v>
      </c>
      <c r="G26" s="277">
        <f t="shared" si="0"/>
        <v>28.325</v>
      </c>
      <c r="H26" s="406">
        <f>SUM(H28:H40)</f>
        <v>155</v>
      </c>
      <c r="I26" s="147">
        <f>SUM(I28:I40)</f>
        <v>79.825</v>
      </c>
      <c r="J26" s="266">
        <f t="shared" si="0"/>
        <v>205</v>
      </c>
      <c r="K26" s="419">
        <f t="shared" si="0"/>
        <v>105.575</v>
      </c>
      <c r="L26" s="290">
        <f>SUM(L28:L40)</f>
        <v>150</v>
      </c>
      <c r="M26" s="254">
        <f>SUM(M28:M38)</f>
        <v>77.25</v>
      </c>
      <c r="N26" s="150"/>
      <c r="O26" s="150"/>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G26">SUM(AB27:AB40)</f>
        <v>55</v>
      </c>
      <c r="AC26" s="253">
        <f t="shared" si="2"/>
        <v>28.325</v>
      </c>
      <c r="AD26" s="150">
        <f t="shared" si="2"/>
        <v>162</v>
      </c>
      <c r="AE26" s="150">
        <f t="shared" si="2"/>
        <v>83.43</v>
      </c>
      <c r="AF26" s="253">
        <f t="shared" si="2"/>
        <v>167</v>
      </c>
      <c r="AG26" s="365">
        <f t="shared" si="2"/>
        <v>86.005</v>
      </c>
      <c r="AH26" s="337">
        <f>SUM(AF27:AF40)</f>
        <v>167</v>
      </c>
      <c r="AI26" s="150">
        <f>SUM(AI27:AI40)</f>
        <v>86.005</v>
      </c>
      <c r="AJ26" s="253">
        <f>SUM(AH27:AH40)</f>
        <v>167</v>
      </c>
      <c r="AK26" s="391">
        <f>SUM(AK27:AK40)</f>
        <v>86.38</v>
      </c>
      <c r="AL26" s="230">
        <f>SUM(AL27:AL40)</f>
        <v>30</v>
      </c>
      <c r="AM26" s="150">
        <f>SUM(AM27:AM40)</f>
        <v>15.450000000000001</v>
      </c>
      <c r="AN26" s="253"/>
      <c r="AO26" s="253"/>
      <c r="AP26" s="150">
        <f>SUM(AP27:AP40)</f>
        <v>41</v>
      </c>
      <c r="AQ26" s="150">
        <f>SUM(AQ27:AQ40)</f>
        <v>21.115000000000002</v>
      </c>
      <c r="AR26" s="253">
        <f>SUM(AR27:AR40)</f>
        <v>96</v>
      </c>
      <c r="AS26" s="253">
        <f>SUM(AS27:AS40)</f>
        <v>49.44</v>
      </c>
      <c r="AT26" s="159">
        <f>SUM(AT28:AT40)</f>
        <v>55</v>
      </c>
      <c r="AU26" s="159">
        <f>SUM(AU28:AU40)</f>
        <v>28.325</v>
      </c>
      <c r="AV26" s="253">
        <f>SUM(AV28:AV40)</f>
        <v>0</v>
      </c>
      <c r="AW26" s="320">
        <f>SUM(AW28:AW40)</f>
        <v>0</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0</v>
      </c>
      <c r="D28" s="18"/>
      <c r="E28" s="18">
        <f>(E22-B22)/A2</f>
        <v>28.325</v>
      </c>
      <c r="F28" s="17"/>
      <c r="G28" s="274">
        <f>(G22-F22)/A2</f>
        <v>0.8249999999999993</v>
      </c>
      <c r="H28" s="403"/>
      <c r="I28" s="18">
        <f>(I22-H22)/A2</f>
        <v>2.325000000000003</v>
      </c>
      <c r="J28" s="264"/>
      <c r="K28" s="416">
        <f>(K22-J22)/A2</f>
        <v>3.075000000000003</v>
      </c>
      <c r="L28" s="287"/>
      <c r="M28" s="247">
        <f>(M22-L22)/A2</f>
        <v>2.25</v>
      </c>
      <c r="N28" s="121"/>
      <c r="O28" s="108">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2.5049999999999955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B7+IF(A4=0,-25,0)</f>
        <v>0</v>
      </c>
      <c r="C30" s="17">
        <f>B30/A2</f>
        <v>0</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102</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112</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B14+IF(A4=0,-5,0)</f>
        <v>0</v>
      </c>
      <c r="C35" s="23">
        <f>B35/A2</f>
        <v>0</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0</v>
      </c>
      <c r="C40" s="145">
        <f>(A4*1.075)/A2</f>
        <v>0</v>
      </c>
      <c r="D40" s="146">
        <f>A4*1.075</f>
        <v>0</v>
      </c>
      <c r="E40" s="147">
        <f>(A4*1.075)/A2</f>
        <v>0</v>
      </c>
      <c r="F40" s="148">
        <f>A4*1.075</f>
        <v>0</v>
      </c>
      <c r="G40" s="281">
        <f>(A4*1.075)/A2</f>
        <v>0</v>
      </c>
      <c r="H40" s="436">
        <f>A4*1.075</f>
        <v>0</v>
      </c>
      <c r="I40" s="147">
        <f>(A4*1.075)/A2</f>
        <v>0</v>
      </c>
      <c r="J40" s="268">
        <f>A4*1.075</f>
        <v>0</v>
      </c>
      <c r="K40" s="419">
        <f>(A4*1.075)/A2</f>
        <v>0</v>
      </c>
      <c r="L40" s="294"/>
      <c r="M40" s="253"/>
      <c r="N40" s="150"/>
      <c r="O40" s="150"/>
      <c r="P40" s="257">
        <f>A4*1.075</f>
        <v>0</v>
      </c>
      <c r="Q40" s="253">
        <f>(A4*1.075)/A2</f>
        <v>0</v>
      </c>
      <c r="R40" s="150">
        <f>A4*1.075</f>
        <v>0</v>
      </c>
      <c r="S40" s="150">
        <f>(A4*1.075)/A2</f>
        <v>0</v>
      </c>
      <c r="T40" s="257">
        <f>A4*1.075</f>
        <v>0</v>
      </c>
      <c r="U40" s="253">
        <f>(A4*1.075)/A2</f>
        <v>0</v>
      </c>
      <c r="V40" s="149">
        <f>A4*1.075</f>
        <v>0</v>
      </c>
      <c r="W40" s="150">
        <f>(A4*1.075)/A2</f>
        <v>0</v>
      </c>
      <c r="X40" s="257">
        <f>A4*1.075</f>
        <v>0</v>
      </c>
      <c r="Y40" s="253">
        <f>(A4*1.075)/A2</f>
        <v>0</v>
      </c>
      <c r="Z40" s="149">
        <f>A4*1.075</f>
        <v>0</v>
      </c>
      <c r="AA40" s="150">
        <f>(A4*1.075)/A2</f>
        <v>0</v>
      </c>
      <c r="AB40" s="257">
        <f>A4*1.075</f>
        <v>0</v>
      </c>
      <c r="AC40" s="253">
        <f>(A4*1.075)/A2</f>
        <v>0</v>
      </c>
      <c r="AD40" s="150">
        <f>A4*1.075</f>
        <v>0</v>
      </c>
      <c r="AE40" s="150">
        <f>(A4*1.075)/A2</f>
        <v>0</v>
      </c>
      <c r="AF40" s="253">
        <f>A4*1.075</f>
        <v>0</v>
      </c>
      <c r="AG40" s="365">
        <f>(A4*1.075)/A2</f>
        <v>0</v>
      </c>
      <c r="AH40" s="337">
        <f>A4*1.075</f>
        <v>0</v>
      </c>
      <c r="AI40" s="150">
        <f>(A4*1.075)/A2</f>
        <v>0</v>
      </c>
      <c r="AJ40" s="253">
        <f>A4*1.075</f>
        <v>0</v>
      </c>
      <c r="AK40" s="391">
        <f>(A4*1.075)/A2</f>
        <v>0</v>
      </c>
      <c r="AL40" s="230">
        <f>A4*1.075</f>
        <v>0</v>
      </c>
      <c r="AM40" s="150">
        <f>(A4*1.075)/A2</f>
        <v>0</v>
      </c>
      <c r="AN40" s="253"/>
      <c r="AO40" s="253"/>
      <c r="AP40" s="150"/>
      <c r="AQ40" s="150"/>
      <c r="AR40" s="253">
        <f>A4*1.075</f>
        <v>0</v>
      </c>
      <c r="AS40" s="253">
        <f>(A4*1.075)/A2</f>
        <v>0</v>
      </c>
      <c r="AT40" s="152">
        <f>A4*1.075</f>
        <v>0</v>
      </c>
      <c r="AU40" s="153">
        <f>(A4*1.075)/A2</f>
        <v>0</v>
      </c>
      <c r="AV40" s="152">
        <v>0</v>
      </c>
      <c r="AW40" s="154">
        <v>0</v>
      </c>
    </row>
    <row r="41" spans="1:49" ht="12.75">
      <c r="A41" s="135" t="s">
        <v>86</v>
      </c>
      <c r="B41" s="136">
        <f aca="true" t="shared" si="3" ref="B41:G41">B40*0.1116</f>
        <v>0</v>
      </c>
      <c r="C41" s="137">
        <f>C40*0.1116</f>
        <v>0</v>
      </c>
      <c r="D41" s="14">
        <f>D40*0.1116</f>
        <v>0</v>
      </c>
      <c r="E41" s="138">
        <f t="shared" si="3"/>
        <v>0</v>
      </c>
      <c r="F41" s="13">
        <f t="shared" si="3"/>
        <v>0</v>
      </c>
      <c r="G41" s="282">
        <f t="shared" si="3"/>
        <v>0</v>
      </c>
      <c r="H41" s="407">
        <f>H40*0.1116</f>
        <v>0</v>
      </c>
      <c r="I41" s="138">
        <f>I40*0.1116</f>
        <v>0</v>
      </c>
      <c r="J41" s="267">
        <f>J40*0.1116</f>
        <v>0</v>
      </c>
      <c r="K41" s="425">
        <f>K40*0.1116</f>
        <v>0</v>
      </c>
      <c r="L41" s="291"/>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 aca="true" t="shared" si="6" ref="AR41:AW41">AR40*0.1116</f>
        <v>0</v>
      </c>
      <c r="AS41" s="352">
        <f t="shared" si="6"/>
        <v>0</v>
      </c>
      <c r="AT41" s="141">
        <f t="shared" si="6"/>
        <v>0</v>
      </c>
      <c r="AU41" s="142">
        <f t="shared" si="6"/>
        <v>0</v>
      </c>
      <c r="AV41" s="141">
        <f t="shared" si="6"/>
        <v>0</v>
      </c>
      <c r="AW41" s="143">
        <f t="shared" si="6"/>
        <v>0</v>
      </c>
    </row>
    <row r="42" spans="1:49" ht="12.75">
      <c r="A42" s="59" t="s">
        <v>69</v>
      </c>
      <c r="B42" s="37">
        <f aca="true" t="shared" si="7" ref="B42:G42">B40*0.8884</f>
        <v>0</v>
      </c>
      <c r="C42" s="23">
        <f t="shared" si="7"/>
        <v>0</v>
      </c>
      <c r="D42" s="18">
        <f>B40*0.8884</f>
        <v>0</v>
      </c>
      <c r="E42" s="24">
        <f t="shared" si="7"/>
        <v>0</v>
      </c>
      <c r="F42" s="17">
        <f t="shared" si="7"/>
        <v>0</v>
      </c>
      <c r="G42" s="279">
        <f t="shared" si="7"/>
        <v>0</v>
      </c>
      <c r="H42" s="403">
        <f>H40*0.8884</f>
        <v>0</v>
      </c>
      <c r="I42" s="24">
        <f>I40*0.8884</f>
        <v>0</v>
      </c>
      <c r="J42" s="264">
        <f>J40*0.8884</f>
        <v>0</v>
      </c>
      <c r="K42" s="422">
        <f>K40*0.8884</f>
        <v>0</v>
      </c>
      <c r="L42" s="287"/>
      <c r="M42" s="256"/>
      <c r="N42" s="79"/>
      <c r="O42" s="79"/>
      <c r="P42" s="247">
        <f aca="true" t="shared" si="8" ref="P42:AE42">P40*0.8884</f>
        <v>0</v>
      </c>
      <c r="Q42" s="256">
        <f t="shared" si="8"/>
        <v>0</v>
      </c>
      <c r="R42" s="79">
        <f t="shared" si="8"/>
        <v>0</v>
      </c>
      <c r="S42" s="81">
        <f t="shared" si="8"/>
        <v>0</v>
      </c>
      <c r="T42" s="247">
        <f t="shared" si="8"/>
        <v>0</v>
      </c>
      <c r="U42" s="256">
        <f t="shared" si="8"/>
        <v>0</v>
      </c>
      <c r="V42" s="79">
        <f>V40*0.8884</f>
        <v>0</v>
      </c>
      <c r="W42" s="81">
        <f>W40*0.8884</f>
        <v>0</v>
      </c>
      <c r="X42" s="247">
        <f>X40*0.8884</f>
        <v>0</v>
      </c>
      <c r="Y42" s="256">
        <f>Y40*0.8884</f>
        <v>0</v>
      </c>
      <c r="Z42" s="79">
        <f t="shared" si="8"/>
        <v>0</v>
      </c>
      <c r="AA42" s="81">
        <f t="shared" si="8"/>
        <v>0</v>
      </c>
      <c r="AB42" s="247">
        <f t="shared" si="8"/>
        <v>0</v>
      </c>
      <c r="AC42" s="256">
        <f t="shared" si="8"/>
        <v>0</v>
      </c>
      <c r="AD42" s="79">
        <f t="shared" si="8"/>
        <v>0</v>
      </c>
      <c r="AE42" s="81">
        <f t="shared" si="8"/>
        <v>0</v>
      </c>
      <c r="AF42" s="247">
        <f>AF40*0.8884</f>
        <v>0</v>
      </c>
      <c r="AG42" s="368">
        <f>AG40*0.8884</f>
        <v>0</v>
      </c>
      <c r="AH42" s="335">
        <f>AF40*0.8884</f>
        <v>0</v>
      </c>
      <c r="AI42" s="81">
        <f>AI40*0.8884</f>
        <v>0</v>
      </c>
      <c r="AJ42" s="247">
        <f>AH40*0.8884</f>
        <v>0</v>
      </c>
      <c r="AK42" s="394">
        <f>AK40*0.8884</f>
        <v>0</v>
      </c>
      <c r="AL42" s="231">
        <f>AL40*0.8884</f>
        <v>0</v>
      </c>
      <c r="AM42" s="81">
        <f>AM40*0.8884</f>
        <v>0</v>
      </c>
      <c r="AN42" s="262"/>
      <c r="AO42" s="262"/>
      <c r="AP42" s="79"/>
      <c r="AQ42" s="83"/>
      <c r="AR42" s="247">
        <f aca="true" t="shared" si="9" ref="AR42:AW42">AR40*0.8884</f>
        <v>0</v>
      </c>
      <c r="AS42" s="350">
        <f t="shared" si="9"/>
        <v>0</v>
      </c>
      <c r="AT42" s="108">
        <f t="shared" si="9"/>
        <v>0</v>
      </c>
      <c r="AU42" s="111">
        <f t="shared" si="9"/>
        <v>0</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0</v>
      </c>
      <c r="C44" s="163">
        <f>A4/A2</f>
        <v>0</v>
      </c>
      <c r="D44" s="164">
        <f>A4</f>
        <v>0</v>
      </c>
      <c r="E44" s="164">
        <f>A4/A2</f>
        <v>0</v>
      </c>
      <c r="F44" s="163">
        <f>A4</f>
        <v>0</v>
      </c>
      <c r="G44" s="283">
        <f>A4/A2</f>
        <v>0</v>
      </c>
      <c r="H44" s="437">
        <f>A4</f>
        <v>0</v>
      </c>
      <c r="I44" s="164">
        <f>A4/A2</f>
        <v>0</v>
      </c>
      <c r="J44" s="269">
        <f>A4</f>
        <v>0</v>
      </c>
      <c r="K44" s="438">
        <f>A4/A2</f>
        <v>0</v>
      </c>
      <c r="L44" s="295"/>
      <c r="M44" s="259"/>
      <c r="N44" s="165"/>
      <c r="O44" s="165"/>
      <c r="P44" s="259">
        <f>A4</f>
        <v>0</v>
      </c>
      <c r="Q44" s="259">
        <f>A4/A2</f>
        <v>0</v>
      </c>
      <c r="R44" s="165">
        <f>A4</f>
        <v>0</v>
      </c>
      <c r="S44" s="165">
        <f>A4/A2</f>
        <v>0</v>
      </c>
      <c r="T44" s="259">
        <f>A4</f>
        <v>0</v>
      </c>
      <c r="U44" s="259">
        <f>A4/A2</f>
        <v>0</v>
      </c>
      <c r="V44" s="165">
        <f>A4</f>
        <v>0</v>
      </c>
      <c r="W44" s="165">
        <f>A4/A2</f>
        <v>0</v>
      </c>
      <c r="X44" s="259">
        <f>A4</f>
        <v>0</v>
      </c>
      <c r="Y44" s="259">
        <f>A4/A2</f>
        <v>0</v>
      </c>
      <c r="Z44" s="165">
        <f>A4</f>
        <v>0</v>
      </c>
      <c r="AA44" s="165">
        <f>A4/A2</f>
        <v>0</v>
      </c>
      <c r="AB44" s="259">
        <f>A4</f>
        <v>0</v>
      </c>
      <c r="AC44" s="259">
        <f>A4/A2</f>
        <v>0</v>
      </c>
      <c r="AD44" s="165">
        <f>A4</f>
        <v>0</v>
      </c>
      <c r="AE44" s="165">
        <f>A4/A2</f>
        <v>0</v>
      </c>
      <c r="AF44" s="259">
        <f>A4</f>
        <v>0</v>
      </c>
      <c r="AG44" s="427">
        <f>A4/A2</f>
        <v>0</v>
      </c>
      <c r="AH44" s="430">
        <f>A4</f>
        <v>0</v>
      </c>
      <c r="AI44" s="165">
        <f>A4/A2</f>
        <v>0</v>
      </c>
      <c r="AJ44" s="259">
        <f>A4</f>
        <v>0</v>
      </c>
      <c r="AK44" s="434">
        <f>A4/A2</f>
        <v>0</v>
      </c>
      <c r="AL44" s="432">
        <f>A4</f>
        <v>0</v>
      </c>
      <c r="AM44" s="165">
        <f>A4/A2</f>
        <v>0</v>
      </c>
      <c r="AN44" s="259">
        <f>A4</f>
        <v>0</v>
      </c>
      <c r="AO44" s="259">
        <f>A4/A2</f>
        <v>0</v>
      </c>
      <c r="AP44" s="165"/>
      <c r="AQ44" s="165"/>
      <c r="AR44" s="259">
        <f>A4</f>
        <v>0</v>
      </c>
      <c r="AS44" s="259">
        <f>A4/A2</f>
        <v>0</v>
      </c>
      <c r="AT44" s="166">
        <f>A4</f>
        <v>0</v>
      </c>
      <c r="AU44" s="167">
        <f>A4/A2</f>
        <v>0</v>
      </c>
      <c r="AV44" s="259">
        <f>A4</f>
        <v>0</v>
      </c>
      <c r="AW44" s="354">
        <f>A4/A2</f>
        <v>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0</v>
      </c>
      <c r="C47" s="17">
        <f>A4/A2</f>
        <v>0</v>
      </c>
      <c r="D47" s="18">
        <f>B44</f>
        <v>0</v>
      </c>
      <c r="E47" s="18">
        <f aca="true" t="shared" si="10" ref="E47:K47">E44</f>
        <v>0</v>
      </c>
      <c r="F47" s="17">
        <f t="shared" si="10"/>
        <v>0</v>
      </c>
      <c r="G47" s="274">
        <f t="shared" si="10"/>
        <v>0</v>
      </c>
      <c r="H47" s="403">
        <f t="shared" si="10"/>
        <v>0</v>
      </c>
      <c r="I47" s="18">
        <f t="shared" si="10"/>
        <v>0</v>
      </c>
      <c r="J47" s="264">
        <f t="shared" si="10"/>
        <v>0</v>
      </c>
      <c r="K47" s="416">
        <f t="shared" si="10"/>
        <v>0</v>
      </c>
      <c r="L47" s="287"/>
      <c r="M47" s="247"/>
      <c r="N47" s="108">
        <f>N22/2</f>
        <v>0</v>
      </c>
      <c r="O47" s="121">
        <f>(A4*0.5)/A2</f>
        <v>0</v>
      </c>
      <c r="P47" s="247"/>
      <c r="Q47" s="247"/>
      <c r="R47" s="79">
        <f>A4/2</f>
        <v>0</v>
      </c>
      <c r="S47" s="79">
        <f>(A4/2)/A2</f>
        <v>0</v>
      </c>
      <c r="T47" s="247"/>
      <c r="U47" s="247"/>
      <c r="V47" s="79">
        <f>V44*0.25</f>
        <v>0</v>
      </c>
      <c r="W47" s="79">
        <f>W44*0.25</f>
        <v>0</v>
      </c>
      <c r="X47" s="108">
        <f>X44*0.25</f>
        <v>0</v>
      </c>
      <c r="Y47" s="121">
        <f>Y44*0.25</f>
        <v>0</v>
      </c>
      <c r="Z47" s="79"/>
      <c r="AA47" s="79"/>
      <c r="AB47" s="108">
        <f>A4*0.25</f>
        <v>0</v>
      </c>
      <c r="AC47" s="121">
        <f>(A4*0.25)/A2</f>
        <v>0</v>
      </c>
      <c r="AD47" s="79">
        <f>A4</f>
        <v>0</v>
      </c>
      <c r="AE47" s="79">
        <f>A4/A2</f>
        <v>0</v>
      </c>
      <c r="AF47" s="247">
        <f>AF44-AF54</f>
        <v>0</v>
      </c>
      <c r="AG47" s="362">
        <f>AG44-AG54</f>
        <v>0</v>
      </c>
      <c r="AH47" s="335">
        <f>AH44-AF54</f>
        <v>0</v>
      </c>
      <c r="AI47" s="79">
        <f>AI44-AI54</f>
        <v>0</v>
      </c>
      <c r="AJ47" s="247">
        <f>AH44-AH54</f>
        <v>0</v>
      </c>
      <c r="AK47" s="388">
        <f>AK44-AK54</f>
        <v>0</v>
      </c>
      <c r="AL47" s="231">
        <f>AL44-AL54</f>
        <v>0</v>
      </c>
      <c r="AM47" s="79">
        <f>AM44-AM54</f>
        <v>0</v>
      </c>
      <c r="AN47" s="108">
        <f>A4</f>
        <v>0</v>
      </c>
      <c r="AO47" s="121">
        <f>A4/A2</f>
        <v>0</v>
      </c>
      <c r="AP47" s="79"/>
      <c r="AQ47" s="79"/>
      <c r="AR47" s="247">
        <f>A4</f>
        <v>0</v>
      </c>
      <c r="AS47" s="346">
        <f>A4/A2</f>
        <v>0</v>
      </c>
      <c r="AT47" s="121">
        <f>AT44</f>
        <v>0</v>
      </c>
      <c r="AU47" s="121">
        <f>AU44</f>
        <v>0</v>
      </c>
      <c r="AV47" s="247">
        <f>AV44</f>
        <v>0</v>
      </c>
      <c r="AW47" s="317">
        <f>AW44</f>
        <v>0</v>
      </c>
    </row>
    <row r="48" spans="1:49" ht="12.75">
      <c r="A48" s="59" t="s">
        <v>2</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0</v>
      </c>
      <c r="Q49" s="121">
        <f>A4/A2</f>
        <v>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0</v>
      </c>
      <c r="S50" s="79">
        <f>(A4/2)/A2</f>
        <v>0</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0</v>
      </c>
      <c r="U51" s="121">
        <f>A4/A2</f>
        <v>0</v>
      </c>
      <c r="V51" s="108">
        <f>V44*0.75</f>
        <v>0</v>
      </c>
      <c r="W51" s="121">
        <f>W44*0.75</f>
        <v>0</v>
      </c>
      <c r="X51" s="108">
        <f>X44*0.75</f>
        <v>0</v>
      </c>
      <c r="Y51" s="121">
        <f>Y44*0.75</f>
        <v>0</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0</v>
      </c>
      <c r="AA52" s="121">
        <f>A4/A2</f>
        <v>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0</v>
      </c>
      <c r="AC53" s="121">
        <f>(A4*0.75)/A2</f>
        <v>0</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f>IF(A4=0,0,100)</f>
        <v>0</v>
      </c>
      <c r="AG54" s="372">
        <f>AF54/A2</f>
        <v>0</v>
      </c>
      <c r="AH54" s="379">
        <f>IF(A4=0,0,100)</f>
        <v>0</v>
      </c>
      <c r="AI54" s="124">
        <f>AH54/A2</f>
        <v>0</v>
      </c>
      <c r="AJ54" s="123">
        <f>IF(A4=0,0,100)</f>
        <v>0</v>
      </c>
      <c r="AK54" s="399">
        <f>AJ54/A2</f>
        <v>0</v>
      </c>
      <c r="AL54" s="384">
        <f>IF(A4=0,0,100)</f>
        <v>0</v>
      </c>
      <c r="AM54" s="124">
        <f>AL54/A2</f>
        <v>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X19:Y19"/>
    <mergeCell ref="Z19:AA19"/>
    <mergeCell ref="T19:U19"/>
    <mergeCell ref="N19:O19"/>
    <mergeCell ref="P19:Q19"/>
    <mergeCell ref="R19:S19"/>
    <mergeCell ref="AV19:AW19"/>
    <mergeCell ref="AR19:AS19"/>
    <mergeCell ref="AD19:AE19"/>
    <mergeCell ref="AP19:AQ19"/>
    <mergeCell ref="AF19:AG19"/>
    <mergeCell ref="AL19:AM19"/>
    <mergeCell ref="AH19:AI19"/>
    <mergeCell ref="AN19:AO19"/>
    <mergeCell ref="AJ19:AK19"/>
    <mergeCell ref="AT19:AU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59"/>
  <sheetViews>
    <sheetView tabSelected="1"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A2" sqref="A2"/>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18"/>
      <c r="AE14" s="518"/>
      <c r="AF14" s="519"/>
      <c r="AG14" s="519"/>
      <c r="AH14" s="63"/>
      <c r="AI14" s="63"/>
      <c r="AJ14" s="63"/>
      <c r="AK14" s="63"/>
      <c r="AL14" s="519"/>
      <c r="AM14" s="519"/>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4.25" hidden="1" thickBot="1" thickTop="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08" t="s">
        <v>95</v>
      </c>
      <c r="AG17" s="508"/>
      <c r="AH17" s="523" t="s">
        <v>116</v>
      </c>
      <c r="AI17" s="524"/>
      <c r="AJ17" s="524"/>
      <c r="AK17" s="525"/>
      <c r="AL17" s="62"/>
      <c r="AM17" s="62"/>
      <c r="AP17" s="1"/>
      <c r="AR17" s="1"/>
    </row>
    <row r="18" spans="1:44" ht="14.25" customHeight="1" thickBot="1" thickTop="1">
      <c r="A18" s="1"/>
      <c r="B18" s="2"/>
      <c r="C18" s="1"/>
      <c r="E18" s="1"/>
      <c r="G18" s="1"/>
      <c r="H18" s="516" t="s">
        <v>110</v>
      </c>
      <c r="I18" s="517"/>
      <c r="J18" s="516" t="s">
        <v>111</v>
      </c>
      <c r="K18" s="517"/>
      <c r="L18" s="1"/>
      <c r="M18" s="1"/>
      <c r="Q18" s="1"/>
      <c r="S18" s="1"/>
      <c r="U18" s="1"/>
      <c r="V18" s="1"/>
      <c r="W18" s="1"/>
      <c r="X18" s="1"/>
      <c r="Y18" s="1"/>
      <c r="AA18" s="1"/>
      <c r="AC18" s="1"/>
      <c r="AD18" s="520" t="s">
        <v>46</v>
      </c>
      <c r="AE18" s="520"/>
      <c r="AF18" s="510"/>
      <c r="AG18" s="510"/>
      <c r="AH18" s="521" t="s">
        <v>113</v>
      </c>
      <c r="AI18" s="522"/>
      <c r="AJ18" s="526" t="s">
        <v>114</v>
      </c>
      <c r="AK18" s="527"/>
      <c r="AL18" s="503"/>
      <c r="AM18" s="504"/>
      <c r="AP18" s="1"/>
      <c r="AR18" s="1"/>
    </row>
    <row r="19" spans="1:49" ht="40.5" customHeight="1" thickBot="1" thickTop="1">
      <c r="A19" s="65" t="s">
        <v>93</v>
      </c>
      <c r="B19" s="490" t="s">
        <v>6</v>
      </c>
      <c r="C19" s="490"/>
      <c r="D19" s="491" t="s">
        <v>7</v>
      </c>
      <c r="E19" s="491"/>
      <c r="F19" s="492" t="s">
        <v>21</v>
      </c>
      <c r="G19" s="484"/>
      <c r="H19" s="531" t="s">
        <v>43</v>
      </c>
      <c r="I19" s="532"/>
      <c r="J19" s="529" t="s">
        <v>43</v>
      </c>
      <c r="K19" s="530"/>
      <c r="L19" s="495" t="s">
        <v>97</v>
      </c>
      <c r="M19" s="477"/>
      <c r="N19" s="484" t="s">
        <v>13</v>
      </c>
      <c r="O19" s="485"/>
      <c r="P19" s="469" t="s">
        <v>8</v>
      </c>
      <c r="Q19" s="470"/>
      <c r="R19" s="484" t="s">
        <v>14</v>
      </c>
      <c r="S19" s="485"/>
      <c r="T19" s="469" t="s">
        <v>9</v>
      </c>
      <c r="U19" s="470"/>
      <c r="V19" s="468" t="s">
        <v>39</v>
      </c>
      <c r="W19" s="465"/>
      <c r="X19" s="476" t="s">
        <v>101</v>
      </c>
      <c r="Y19" s="477"/>
      <c r="Z19" s="484" t="s">
        <v>10</v>
      </c>
      <c r="AA19" s="485"/>
      <c r="AB19" s="469" t="s">
        <v>11</v>
      </c>
      <c r="AC19" s="470"/>
      <c r="AD19" s="468" t="s">
        <v>91</v>
      </c>
      <c r="AE19" s="465"/>
      <c r="AF19" s="476" t="s">
        <v>91</v>
      </c>
      <c r="AG19" s="495"/>
      <c r="AH19" s="487" t="s">
        <v>91</v>
      </c>
      <c r="AI19" s="465"/>
      <c r="AJ19" s="476" t="s">
        <v>91</v>
      </c>
      <c r="AK19" s="501"/>
      <c r="AL19" s="528" t="s">
        <v>70</v>
      </c>
      <c r="AM19" s="465"/>
      <c r="AN19" s="476" t="s">
        <v>71</v>
      </c>
      <c r="AO19" s="477"/>
      <c r="AP19" s="468" t="s">
        <v>48</v>
      </c>
      <c r="AQ19" s="465"/>
      <c r="AR19" s="476" t="s">
        <v>12</v>
      </c>
      <c r="AS19" s="477"/>
      <c r="AT19" s="502" t="s">
        <v>84</v>
      </c>
      <c r="AU19" s="502"/>
      <c r="AV19" s="498" t="s">
        <v>73</v>
      </c>
      <c r="AW19" s="498"/>
    </row>
    <row r="20" spans="1:49" ht="28.5" customHeight="1" thickBot="1" thickTop="1">
      <c r="A20" s="40" t="s">
        <v>119</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300">
        <f>B16</f>
        <v>150</v>
      </c>
      <c r="M22" s="250">
        <f>L22*1.03</f>
        <v>154.5</v>
      </c>
      <c r="N22" s="78">
        <f>A4</f>
        <v>0</v>
      </c>
      <c r="O22" s="78">
        <f>(A4*1.04)/A2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A4+B5+B6+B7+B8+B9+B14+B15</f>
        <v>192</v>
      </c>
      <c r="AI22" s="78">
        <f>AH22*1.03</f>
        <v>197.76</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0</v>
      </c>
      <c r="D24" s="45"/>
      <c r="E24" s="45">
        <f>E26+E44</f>
        <v>28.325</v>
      </c>
      <c r="F24" s="44"/>
      <c r="G24" s="275">
        <f>G26+G44</f>
        <v>28.325</v>
      </c>
      <c r="H24" s="404"/>
      <c r="I24" s="45">
        <f>I26+I44</f>
        <v>79.825</v>
      </c>
      <c r="J24" s="80"/>
      <c r="K24" s="417">
        <f>K26+K44</f>
        <v>105.575</v>
      </c>
      <c r="L24" s="288"/>
      <c r="M24" s="251">
        <f>M26+M45</f>
        <v>77.25</v>
      </c>
      <c r="N24" s="80"/>
      <c r="O24" s="80">
        <f>O26+O46+O47+O48+O49</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AE26+AE44</f>
        <v>85.93</v>
      </c>
      <c r="AF24" s="251"/>
      <c r="AG24" s="363">
        <f>AG26+AG44</f>
        <v>86.005</v>
      </c>
      <c r="AH24" s="375"/>
      <c r="AI24" s="80">
        <f>AI26+AI44</f>
        <v>86.38</v>
      </c>
      <c r="AJ24" s="251"/>
      <c r="AK24" s="389">
        <f>AK26+AK44</f>
        <v>98.88</v>
      </c>
      <c r="AL24" s="382"/>
      <c r="AM24" s="80">
        <f>AM26+AM44</f>
        <v>15.450000000000001</v>
      </c>
      <c r="AN24" s="251"/>
      <c r="AO24" s="251">
        <f>AO28+AO47</f>
        <v>0</v>
      </c>
      <c r="AP24" s="80"/>
      <c r="AQ24" s="80">
        <f>AQ26</f>
        <v>21.115000000000002</v>
      </c>
      <c r="AR24" s="251"/>
      <c r="AS24" s="347">
        <f>AS26+AS44</f>
        <v>49.44</v>
      </c>
      <c r="AT24" s="80"/>
      <c r="AU24" s="80">
        <f>AU26+AU44</f>
        <v>28.325</v>
      </c>
      <c r="AV24" s="251"/>
      <c r="AW24" s="318">
        <f>AW26+AW44</f>
        <v>0</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28.325</v>
      </c>
      <c r="F26" s="145">
        <f t="shared" si="0"/>
        <v>55</v>
      </c>
      <c r="G26" s="277">
        <f t="shared" si="0"/>
        <v>28.325</v>
      </c>
      <c r="H26" s="406">
        <f>SUM(H28:H40)</f>
        <v>155</v>
      </c>
      <c r="I26" s="147">
        <f>SUM(I28:I40)</f>
        <v>79.825</v>
      </c>
      <c r="J26" s="266">
        <f t="shared" si="0"/>
        <v>205</v>
      </c>
      <c r="K26" s="419">
        <f t="shared" si="0"/>
        <v>105.575</v>
      </c>
      <c r="L26" s="290">
        <f>SUM(L28:L40)</f>
        <v>150</v>
      </c>
      <c r="M26" s="253">
        <f>SUM(M28:M40)</f>
        <v>77.25</v>
      </c>
      <c r="N26" s="159"/>
      <c r="O26" s="168">
        <f>SUM(O27:O40)</f>
        <v>0</v>
      </c>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M26">SUM(AB27:AB40)</f>
        <v>55</v>
      </c>
      <c r="AC26" s="253">
        <f t="shared" si="2"/>
        <v>28.325</v>
      </c>
      <c r="AD26" s="150">
        <f t="shared" si="2"/>
        <v>167</v>
      </c>
      <c r="AE26" s="150">
        <f t="shared" si="2"/>
        <v>85.93</v>
      </c>
      <c r="AF26" s="253">
        <f t="shared" si="2"/>
        <v>167</v>
      </c>
      <c r="AG26" s="365">
        <f t="shared" si="2"/>
        <v>86.005</v>
      </c>
      <c r="AH26" s="337">
        <f t="shared" si="2"/>
        <v>167</v>
      </c>
      <c r="AI26" s="150">
        <f t="shared" si="2"/>
        <v>86.38</v>
      </c>
      <c r="AJ26" s="253">
        <f>SUM(AJ27:AJ40)</f>
        <v>192</v>
      </c>
      <c r="AK26" s="391">
        <f>SUM(AK27:AK40)</f>
        <v>98.88</v>
      </c>
      <c r="AL26" s="230">
        <f t="shared" si="2"/>
        <v>30</v>
      </c>
      <c r="AM26" s="150">
        <f t="shared" si="2"/>
        <v>15.450000000000001</v>
      </c>
      <c r="AN26" s="253"/>
      <c r="AO26" s="253"/>
      <c r="AP26" s="150">
        <f>SUM(AP27:AP40)</f>
        <v>41</v>
      </c>
      <c r="AQ26" s="150">
        <f>SUM(AQ27:AQ40)</f>
        <v>21.115000000000002</v>
      </c>
      <c r="AR26" s="253">
        <f>SUM(AR27:AR40)</f>
        <v>96</v>
      </c>
      <c r="AS26" s="253">
        <f>SUM(AS27:AS40)</f>
        <v>49.44</v>
      </c>
      <c r="AT26" s="150">
        <f>SUM(AT28:AT40)</f>
        <v>55</v>
      </c>
      <c r="AU26" s="150">
        <f>SUM(AU28:AU40)</f>
        <v>28.325</v>
      </c>
      <c r="AV26" s="253">
        <f>SUM(AV28:AV40)</f>
        <v>0</v>
      </c>
      <c r="AW26" s="320">
        <f>SUM(AW28:AW40)</f>
        <v>0</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0</v>
      </c>
      <c r="D28" s="18"/>
      <c r="E28" s="18">
        <f>(E22-D22)/A2</f>
        <v>0.8249999999999993</v>
      </c>
      <c r="F28" s="17"/>
      <c r="G28" s="274">
        <f>(G22-F22)/A2</f>
        <v>0.8249999999999993</v>
      </c>
      <c r="H28" s="403"/>
      <c r="I28" s="18">
        <f>(I22-H22)/A2</f>
        <v>2.325000000000003</v>
      </c>
      <c r="J28" s="264"/>
      <c r="K28" s="416">
        <f>(K22-J22)/A2</f>
        <v>3.075000000000003</v>
      </c>
      <c r="L28" s="287"/>
      <c r="M28" s="247">
        <f>(M22-L22)/A2</f>
        <v>2.25</v>
      </c>
      <c r="N28" s="79"/>
      <c r="O28" s="79">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2.8799999999999955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B7+IF(A4=0,-25,0)</f>
        <v>0</v>
      </c>
      <c r="C30" s="17">
        <f>B30/A2</f>
        <v>0</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112</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B14+IF(A4=0,-5,0)</f>
        <v>0</v>
      </c>
      <c r="C35" s="23">
        <f>B35/A2</f>
        <v>0</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0</v>
      </c>
      <c r="C40" s="198">
        <f>(A4*1.075)/A2</f>
        <v>0</v>
      </c>
      <c r="D40" s="199">
        <f>A4*1.075</f>
        <v>0</v>
      </c>
      <c r="E40" s="200">
        <f>(A4*1.075)/A2</f>
        <v>0</v>
      </c>
      <c r="F40" s="203">
        <f>A4*1.075</f>
        <v>0</v>
      </c>
      <c r="G40" s="299">
        <f>(A4*1.075)/A2</f>
        <v>0</v>
      </c>
      <c r="H40" s="411">
        <f>A4*1.075</f>
        <v>0</v>
      </c>
      <c r="I40" s="200">
        <f>(A4*1.075)/A2</f>
        <v>0</v>
      </c>
      <c r="J40" s="202">
        <f>A4*1.075</f>
        <v>0</v>
      </c>
      <c r="K40" s="424">
        <f>(A4*1.075)/A2</f>
        <v>0</v>
      </c>
      <c r="L40" s="302"/>
      <c r="M40" s="296"/>
      <c r="N40" s="201"/>
      <c r="O40" s="201"/>
      <c r="P40" s="298">
        <f>A4*1.075</f>
        <v>0</v>
      </c>
      <c r="Q40" s="296">
        <f>(A4*1.075)/A2</f>
        <v>0</v>
      </c>
      <c r="R40" s="201">
        <f>A4*1.075</f>
        <v>0</v>
      </c>
      <c r="S40" s="201">
        <f>(A4*1.075)/A2</f>
        <v>0</v>
      </c>
      <c r="T40" s="298">
        <f>A4*1.075</f>
        <v>0</v>
      </c>
      <c r="U40" s="296">
        <f>(A4*1.075)/A2</f>
        <v>0</v>
      </c>
      <c r="V40" s="202">
        <f>A4*1.075</f>
        <v>0</v>
      </c>
      <c r="W40" s="201">
        <f>(A4*1.075)/A2</f>
        <v>0</v>
      </c>
      <c r="X40" s="298">
        <f>A4*1.075</f>
        <v>0</v>
      </c>
      <c r="Y40" s="296">
        <f>(A4*1.075)/A2</f>
        <v>0</v>
      </c>
      <c r="Z40" s="202">
        <f>A4*1.075</f>
        <v>0</v>
      </c>
      <c r="AA40" s="201">
        <f>(A4*1.075)/A2</f>
        <v>0</v>
      </c>
      <c r="AB40" s="298">
        <f>A4*1.075</f>
        <v>0</v>
      </c>
      <c r="AC40" s="296">
        <f>(A4*1.075)/A2</f>
        <v>0</v>
      </c>
      <c r="AD40" s="201">
        <f>A4*1.075</f>
        <v>0</v>
      </c>
      <c r="AE40" s="201">
        <f>(A4*1.075)/A2</f>
        <v>0</v>
      </c>
      <c r="AF40" s="296">
        <f>A4*1.075</f>
        <v>0</v>
      </c>
      <c r="AG40" s="370">
        <f>(A4*1.075)/A2</f>
        <v>0</v>
      </c>
      <c r="AH40" s="378">
        <f>A4*1.075</f>
        <v>0</v>
      </c>
      <c r="AI40" s="201">
        <f>(A4*1.075)/A2</f>
        <v>0</v>
      </c>
      <c r="AJ40" s="296">
        <f>A4*1.075</f>
        <v>0</v>
      </c>
      <c r="AK40" s="397">
        <f>(A4*1.075)/A2</f>
        <v>0</v>
      </c>
      <c r="AL40" s="383">
        <f>A4*1.075</f>
        <v>0</v>
      </c>
      <c r="AM40" s="201">
        <f>(A4*1.075)/A2</f>
        <v>0</v>
      </c>
      <c r="AN40" s="296"/>
      <c r="AO40" s="296"/>
      <c r="AP40" s="201"/>
      <c r="AQ40" s="201"/>
      <c r="AR40" s="296">
        <f>A4*1.075</f>
        <v>0</v>
      </c>
      <c r="AS40" s="296">
        <f>(A4*1.075)/A2</f>
        <v>0</v>
      </c>
      <c r="AT40" s="203">
        <f>A4*1.075</f>
        <v>0</v>
      </c>
      <c r="AU40" s="204">
        <f>(A4*1.075)/A2</f>
        <v>0</v>
      </c>
      <c r="AV40" s="203"/>
      <c r="AW40" s="205"/>
    </row>
    <row r="41" spans="1:49" ht="12.75">
      <c r="A41" s="9" t="s">
        <v>65</v>
      </c>
      <c r="B41" s="136">
        <f aca="true" t="shared" si="3" ref="B41:G41">B40*0.1116</f>
        <v>0</v>
      </c>
      <c r="C41" s="137">
        <f>C40*0.1116</f>
        <v>0</v>
      </c>
      <c r="D41" s="14">
        <f t="shared" si="3"/>
        <v>0</v>
      </c>
      <c r="E41" s="138">
        <f t="shared" si="3"/>
        <v>0</v>
      </c>
      <c r="F41" s="13">
        <f t="shared" si="3"/>
        <v>0</v>
      </c>
      <c r="G41" s="282">
        <f t="shared" si="3"/>
        <v>0</v>
      </c>
      <c r="H41" s="407">
        <f>H40*0.1116</f>
        <v>0</v>
      </c>
      <c r="I41" s="138">
        <f>I40*0.1116</f>
        <v>0</v>
      </c>
      <c r="J41" s="267">
        <f>J40*0.1116</f>
        <v>0</v>
      </c>
      <c r="K41" s="425">
        <f>K40*0.1116</f>
        <v>0</v>
      </c>
      <c r="L41" s="303"/>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AR40*0.1116</f>
        <v>0</v>
      </c>
      <c r="AS41" s="352">
        <f>AS40*0.1116</f>
        <v>0</v>
      </c>
      <c r="AT41" s="169">
        <f>AT40*0.1116</f>
        <v>0</v>
      </c>
      <c r="AU41" s="142">
        <f>AU40*0.1116</f>
        <v>0</v>
      </c>
      <c r="AV41" s="141">
        <f>AV40*0.1116</f>
        <v>0</v>
      </c>
      <c r="AW41" s="143"/>
    </row>
    <row r="42" spans="1:49" ht="12.75">
      <c r="A42" s="3" t="s">
        <v>68</v>
      </c>
      <c r="B42" s="37">
        <f aca="true" t="shared" si="6" ref="B42:G42">B40*0.8884</f>
        <v>0</v>
      </c>
      <c r="C42" s="23">
        <f t="shared" si="6"/>
        <v>0</v>
      </c>
      <c r="D42" s="18">
        <f t="shared" si="6"/>
        <v>0</v>
      </c>
      <c r="E42" s="24">
        <f t="shared" si="6"/>
        <v>0</v>
      </c>
      <c r="F42" s="17">
        <f t="shared" si="6"/>
        <v>0</v>
      </c>
      <c r="G42" s="279">
        <f t="shared" si="6"/>
        <v>0</v>
      </c>
      <c r="H42" s="403">
        <f>H40*0.8884</f>
        <v>0</v>
      </c>
      <c r="I42" s="24">
        <f>I40*0.8884</f>
        <v>0</v>
      </c>
      <c r="J42" s="264">
        <f>J40*0.8884</f>
        <v>0</v>
      </c>
      <c r="K42" s="422">
        <f>K40*0.8884</f>
        <v>0</v>
      </c>
      <c r="L42" s="292"/>
      <c r="M42" s="256"/>
      <c r="N42" s="79"/>
      <c r="O42" s="79"/>
      <c r="P42" s="247">
        <f aca="true" t="shared" si="7" ref="P42:AE42">P40*0.8884</f>
        <v>0</v>
      </c>
      <c r="Q42" s="256">
        <f t="shared" si="7"/>
        <v>0</v>
      </c>
      <c r="R42" s="79">
        <f t="shared" si="7"/>
        <v>0</v>
      </c>
      <c r="S42" s="81">
        <f t="shared" si="7"/>
        <v>0</v>
      </c>
      <c r="T42" s="247">
        <f t="shared" si="7"/>
        <v>0</v>
      </c>
      <c r="U42" s="256">
        <f t="shared" si="7"/>
        <v>0</v>
      </c>
      <c r="V42" s="79">
        <f>V40*0.8884</f>
        <v>0</v>
      </c>
      <c r="W42" s="81">
        <f>W40*0.8884</f>
        <v>0</v>
      </c>
      <c r="X42" s="247">
        <f>X40*0.8884</f>
        <v>0</v>
      </c>
      <c r="Y42" s="256">
        <f>Y40*0.8884</f>
        <v>0</v>
      </c>
      <c r="Z42" s="79">
        <f t="shared" si="7"/>
        <v>0</v>
      </c>
      <c r="AA42" s="81">
        <f t="shared" si="7"/>
        <v>0</v>
      </c>
      <c r="AB42" s="247">
        <f t="shared" si="7"/>
        <v>0</v>
      </c>
      <c r="AC42" s="256">
        <f t="shared" si="7"/>
        <v>0</v>
      </c>
      <c r="AD42" s="79">
        <f t="shared" si="7"/>
        <v>0</v>
      </c>
      <c r="AE42" s="81">
        <f t="shared" si="7"/>
        <v>0</v>
      </c>
      <c r="AF42" s="247">
        <f aca="true" t="shared" si="8" ref="AF42:AM42">AF40*0.8884</f>
        <v>0</v>
      </c>
      <c r="AG42" s="368">
        <f t="shared" si="8"/>
        <v>0</v>
      </c>
      <c r="AH42" s="335">
        <f t="shared" si="8"/>
        <v>0</v>
      </c>
      <c r="AI42" s="81">
        <f t="shared" si="8"/>
        <v>0</v>
      </c>
      <c r="AJ42" s="247">
        <f>AJ40*0.8884</f>
        <v>0</v>
      </c>
      <c r="AK42" s="394">
        <f>AK40*0.8884</f>
        <v>0</v>
      </c>
      <c r="AL42" s="231">
        <f t="shared" si="8"/>
        <v>0</v>
      </c>
      <c r="AM42" s="81">
        <f t="shared" si="8"/>
        <v>0</v>
      </c>
      <c r="AN42" s="262"/>
      <c r="AO42" s="262"/>
      <c r="AP42" s="79"/>
      <c r="AQ42" s="83"/>
      <c r="AR42" s="247">
        <f aca="true" t="shared" si="9" ref="AR42:AW42">AR40*0.8884</f>
        <v>0</v>
      </c>
      <c r="AS42" s="350">
        <f t="shared" si="9"/>
        <v>0</v>
      </c>
      <c r="AT42" s="121">
        <f t="shared" si="9"/>
        <v>0</v>
      </c>
      <c r="AU42" s="111">
        <f t="shared" si="9"/>
        <v>0</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0</v>
      </c>
      <c r="C44" s="145">
        <f>A4/A2</f>
        <v>0</v>
      </c>
      <c r="D44" s="147">
        <f>A4</f>
        <v>0</v>
      </c>
      <c r="E44" s="147">
        <f>A4/A2</f>
        <v>0</v>
      </c>
      <c r="F44" s="145">
        <f>A4</f>
        <v>0</v>
      </c>
      <c r="G44" s="277">
        <f>A4/A2</f>
        <v>0</v>
      </c>
      <c r="H44" s="406">
        <f>A4</f>
        <v>0</v>
      </c>
      <c r="I44" s="147">
        <f>A4/A2</f>
        <v>0</v>
      </c>
      <c r="J44" s="266">
        <f>A4</f>
        <v>0</v>
      </c>
      <c r="K44" s="419">
        <f>A4/A2</f>
        <v>0</v>
      </c>
      <c r="L44" s="290"/>
      <c r="M44" s="253">
        <f>A4</f>
        <v>0</v>
      </c>
      <c r="N44" s="150"/>
      <c r="O44" s="150"/>
      <c r="P44" s="253">
        <f>A4</f>
        <v>0</v>
      </c>
      <c r="Q44" s="253">
        <f>A4/A2</f>
        <v>0</v>
      </c>
      <c r="R44" s="150">
        <f>A4</f>
        <v>0</v>
      </c>
      <c r="S44" s="150">
        <f>A4/A2</f>
        <v>0</v>
      </c>
      <c r="T44" s="253">
        <f>A4</f>
        <v>0</v>
      </c>
      <c r="U44" s="253">
        <f>A4/A2</f>
        <v>0</v>
      </c>
      <c r="V44" s="150">
        <f>A4</f>
        <v>0</v>
      </c>
      <c r="W44" s="150">
        <f>A4/A2</f>
        <v>0</v>
      </c>
      <c r="X44" s="253">
        <f>A4</f>
        <v>0</v>
      </c>
      <c r="Y44" s="253">
        <f>A4/A2</f>
        <v>0</v>
      </c>
      <c r="Z44" s="150">
        <f>A4</f>
        <v>0</v>
      </c>
      <c r="AA44" s="150">
        <f>A4/A2</f>
        <v>0</v>
      </c>
      <c r="AB44" s="253">
        <f>A4</f>
        <v>0</v>
      </c>
      <c r="AC44" s="253">
        <f>A4/A2</f>
        <v>0</v>
      </c>
      <c r="AD44" s="150">
        <f>A4</f>
        <v>0</v>
      </c>
      <c r="AE44" s="150">
        <f>A4/A2</f>
        <v>0</v>
      </c>
      <c r="AF44" s="253">
        <f>A4</f>
        <v>0</v>
      </c>
      <c r="AG44" s="365">
        <f>A4/A2</f>
        <v>0</v>
      </c>
      <c r="AH44" s="337">
        <f>A4</f>
        <v>0</v>
      </c>
      <c r="AI44" s="150">
        <f>A4/A2</f>
        <v>0</v>
      </c>
      <c r="AJ44" s="253">
        <f>A4</f>
        <v>0</v>
      </c>
      <c r="AK44" s="391">
        <f>A4/A2</f>
        <v>0</v>
      </c>
      <c r="AL44" s="230">
        <f>A4</f>
        <v>0</v>
      </c>
      <c r="AM44" s="150">
        <f>A4/A2</f>
        <v>0</v>
      </c>
      <c r="AN44" s="253">
        <f>A4</f>
        <v>0</v>
      </c>
      <c r="AO44" s="253">
        <f>A4/A2</f>
        <v>0</v>
      </c>
      <c r="AP44" s="150"/>
      <c r="AQ44" s="150"/>
      <c r="AR44" s="253">
        <f>A4</f>
        <v>0</v>
      </c>
      <c r="AS44" s="253">
        <f>A4/A2</f>
        <v>0</v>
      </c>
      <c r="AT44" s="159">
        <f>A4</f>
        <v>0</v>
      </c>
      <c r="AU44" s="159">
        <f>A4/A2</f>
        <v>0</v>
      </c>
      <c r="AV44" s="253">
        <f>A4</f>
        <v>0</v>
      </c>
      <c r="AW44" s="320">
        <f>A4/A2</f>
        <v>0</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0</v>
      </c>
      <c r="C47" s="17">
        <f>A4/A2</f>
        <v>0</v>
      </c>
      <c r="D47" s="18">
        <f aca="true" t="shared" si="10" ref="D47:K47">D44</f>
        <v>0</v>
      </c>
      <c r="E47" s="18">
        <f t="shared" si="10"/>
        <v>0</v>
      </c>
      <c r="F47" s="17">
        <f t="shared" si="10"/>
        <v>0</v>
      </c>
      <c r="G47" s="274">
        <f t="shared" si="10"/>
        <v>0</v>
      </c>
      <c r="H47" s="403">
        <f>H44</f>
        <v>0</v>
      </c>
      <c r="I47" s="18">
        <f>I44</f>
        <v>0</v>
      </c>
      <c r="J47" s="264">
        <f t="shared" si="10"/>
        <v>0</v>
      </c>
      <c r="K47" s="416">
        <f t="shared" si="10"/>
        <v>0</v>
      </c>
      <c r="L47" s="287"/>
      <c r="M47" s="247"/>
      <c r="N47" s="108">
        <f>N22/4</f>
        <v>0</v>
      </c>
      <c r="O47" s="121">
        <f>(A4*0.25)/A2</f>
        <v>0</v>
      </c>
      <c r="P47" s="247"/>
      <c r="Q47" s="247"/>
      <c r="R47" s="79">
        <f>A4/2</f>
        <v>0</v>
      </c>
      <c r="S47" s="79">
        <f>(A4/2)/A2</f>
        <v>0</v>
      </c>
      <c r="T47" s="247"/>
      <c r="U47" s="247"/>
      <c r="V47" s="79">
        <f>V44*0.25</f>
        <v>0</v>
      </c>
      <c r="W47" s="79">
        <f>W44*0.25</f>
        <v>0</v>
      </c>
      <c r="X47" s="121">
        <f>X44*0.25</f>
        <v>0</v>
      </c>
      <c r="Y47" s="121">
        <f>Y44*0.25</f>
        <v>0</v>
      </c>
      <c r="Z47" s="79"/>
      <c r="AA47" s="79"/>
      <c r="AB47" s="121">
        <f>A4*0.25</f>
        <v>0</v>
      </c>
      <c r="AC47" s="121">
        <f>(A4*0.25)/A2</f>
        <v>0</v>
      </c>
      <c r="AD47" s="79">
        <f>A4</f>
        <v>0</v>
      </c>
      <c r="AE47" s="79">
        <f>A4/A2</f>
        <v>0</v>
      </c>
      <c r="AF47" s="247">
        <f aca="true" t="shared" si="11" ref="AF47:AM47">AF44-AF55</f>
        <v>0</v>
      </c>
      <c r="AG47" s="362">
        <f t="shared" si="11"/>
        <v>0</v>
      </c>
      <c r="AH47" s="335">
        <f t="shared" si="11"/>
        <v>0</v>
      </c>
      <c r="AI47" s="79">
        <f t="shared" si="11"/>
        <v>0</v>
      </c>
      <c r="AJ47" s="247">
        <f>AJ44-AJ55</f>
        <v>0</v>
      </c>
      <c r="AK47" s="388">
        <f>AK44-AK55</f>
        <v>0</v>
      </c>
      <c r="AL47" s="231">
        <f t="shared" si="11"/>
        <v>0</v>
      </c>
      <c r="AM47" s="79">
        <f t="shared" si="11"/>
        <v>0</v>
      </c>
      <c r="AN47" s="108">
        <f>A4</f>
        <v>0</v>
      </c>
      <c r="AO47" s="121">
        <f>A4/A2</f>
        <v>0</v>
      </c>
      <c r="AP47" s="79"/>
      <c r="AQ47" s="79"/>
      <c r="AR47" s="247">
        <f>A4</f>
        <v>0</v>
      </c>
      <c r="AS47" s="346">
        <f>A4/A2</f>
        <v>0</v>
      </c>
      <c r="AT47" s="121">
        <f>AT44</f>
        <v>0</v>
      </c>
      <c r="AU47" s="121">
        <f>AU44</f>
        <v>0</v>
      </c>
      <c r="AV47" s="247">
        <f>AV44</f>
        <v>0</v>
      </c>
      <c r="AW47" s="317">
        <f>AW44</f>
        <v>0</v>
      </c>
    </row>
    <row r="48" spans="1:49" ht="12.75">
      <c r="A48" s="5" t="s">
        <v>1</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0</v>
      </c>
      <c r="O49" s="121">
        <f>(A4*0.25)/A2</f>
        <v>0</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0</v>
      </c>
      <c r="Q50" s="121">
        <f>A4/A2</f>
        <v>0</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0</v>
      </c>
      <c r="S51" s="121">
        <f>(A4/2)/A2</f>
        <v>0</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0</v>
      </c>
      <c r="U52" s="121">
        <f>A4/A2</f>
        <v>0</v>
      </c>
      <c r="V52" s="121">
        <f>V44*0.75</f>
        <v>0</v>
      </c>
      <c r="W52" s="121">
        <f>W44*0.75</f>
        <v>0</v>
      </c>
      <c r="X52" s="108">
        <f>X44*0.75</f>
        <v>0</v>
      </c>
      <c r="Y52" s="121">
        <f>Y44*0.75</f>
        <v>0</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0</v>
      </c>
      <c r="AA53" s="121">
        <f>A4/A2</f>
        <v>0</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0</v>
      </c>
      <c r="AC54" s="121">
        <f>(A4*0.75)/A2</f>
        <v>0</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461">
        <f>IF(A4=0,0,100)</f>
        <v>0</v>
      </c>
      <c r="AG55" s="372">
        <f>AF55/A2</f>
        <v>0</v>
      </c>
      <c r="AH55" s="379">
        <f>IF(A4=0,0,100)</f>
        <v>0</v>
      </c>
      <c r="AI55" s="124">
        <f>AH55/A2</f>
        <v>0</v>
      </c>
      <c r="AJ55" s="123">
        <f>IF(A4=0,0,100)</f>
        <v>0</v>
      </c>
      <c r="AK55" s="399">
        <f>AJ55/A2</f>
        <v>0</v>
      </c>
      <c r="AL55" s="384">
        <f>IF(A4=0,0,100)</f>
        <v>0</v>
      </c>
      <c r="AM55" s="124">
        <f>AL55/A2</f>
        <v>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9" ht="12.75">
      <c r="AJ59" s="358"/>
    </row>
  </sheetData>
  <sheetProtection sheet="1"/>
  <mergeCells count="35">
    <mergeCell ref="B19:C19"/>
    <mergeCell ref="D19:E19"/>
    <mergeCell ref="F19:G19"/>
    <mergeCell ref="J19:K19"/>
    <mergeCell ref="N19:O19"/>
    <mergeCell ref="L19:M19"/>
    <mergeCell ref="H19:I19"/>
    <mergeCell ref="P19:Q19"/>
    <mergeCell ref="R19:S19"/>
    <mergeCell ref="T19:U19"/>
    <mergeCell ref="AL19:AM19"/>
    <mergeCell ref="V19:W19"/>
    <mergeCell ref="X19:Y19"/>
    <mergeCell ref="Z19:AA19"/>
    <mergeCell ref="AJ19:AK19"/>
    <mergeCell ref="AJ18:AK18"/>
    <mergeCell ref="AT19:AU19"/>
    <mergeCell ref="AB19:AC19"/>
    <mergeCell ref="AH19:AI19"/>
    <mergeCell ref="AV19:AW19"/>
    <mergeCell ref="AR19:AS19"/>
    <mergeCell ref="AN19:AO19"/>
    <mergeCell ref="AP19:AQ19"/>
    <mergeCell ref="AD19:AE19"/>
    <mergeCell ref="AF19:AG19"/>
    <mergeCell ref="H18:I18"/>
    <mergeCell ref="J18:K18"/>
    <mergeCell ref="AD14:AE14"/>
    <mergeCell ref="AF14:AG14"/>
    <mergeCell ref="AD18:AE18"/>
    <mergeCell ref="AL14:AM14"/>
    <mergeCell ref="AF17:AG18"/>
    <mergeCell ref="AL18:AM18"/>
    <mergeCell ref="AH18:AI18"/>
    <mergeCell ref="AH17:AK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Clark, Winkie</cp:lastModifiedBy>
  <cp:lastPrinted>2010-07-16T15:00:27Z</cp:lastPrinted>
  <dcterms:created xsi:type="dcterms:W3CDTF">2002-06-17T14:24:35Z</dcterms:created>
  <dcterms:modified xsi:type="dcterms:W3CDTF">2011-07-01T20:21:19Z</dcterms:modified>
  <cp:category/>
  <cp:version/>
  <cp:contentType/>
  <cp:contentStatus/>
</cp:coreProperties>
</file>